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80" yWindow="500" windowWidth="27920" windowHeight="17500" tabRatio="726" firstSheet="3" activeTab="3"/>
  </bookViews>
  <sheets>
    <sheet name="Annual  Report" sheetId="1" r:id="rId1"/>
    <sheet name="average" sheetId="2" r:id="rId2"/>
    <sheet name="Tithe chart" sheetId="3" r:id="rId3"/>
    <sheet name="2020 Wkly Log" sheetId="4" r:id="rId4"/>
    <sheet name="January" sheetId="5" r:id="rId5"/>
    <sheet name="February" sheetId="6" r:id="rId6"/>
    <sheet name="March" sheetId="7" r:id="rId7"/>
    <sheet name="April" sheetId="8" r:id="rId8"/>
    <sheet name="May" sheetId="9" r:id="rId9"/>
    <sheet name="June" sheetId="10" r:id="rId10"/>
    <sheet name="July" sheetId="11" r:id="rId11"/>
    <sheet name="August" sheetId="12" r:id="rId12"/>
    <sheet name="September" sheetId="13" r:id="rId13"/>
    <sheet name="October" sheetId="14" r:id="rId14"/>
    <sheet name="November" sheetId="15" r:id="rId15"/>
    <sheet name="Sheet1" sheetId="16" r:id="rId16"/>
    <sheet name="December" sheetId="17" r:id="rId17"/>
    <sheet name="Sheet2" sheetId="18" r:id="rId18"/>
  </sheets>
  <definedNames>
    <definedName name="_xlnm.Print_Area" localSheetId="3">'2020 Wkly Log'!$A$1:$C$106</definedName>
    <definedName name="_xlnm.Print_Area" localSheetId="7">'April'!$A$1:$F$62</definedName>
    <definedName name="_xlnm.Print_Area" localSheetId="1">'average'!$A$1:$P$54</definedName>
    <definedName name="_xlnm.Print_Area" localSheetId="4">'January'!$A$1:$G$53</definedName>
    <definedName name="_xlnm.Print_Area" localSheetId="6">'March'!$A$1:$G$62</definedName>
    <definedName name="_xlnm.Print_Area" localSheetId="12">'September'!$A$1:$F$64</definedName>
    <definedName name="ttt">'Annual  Report'!$B$7</definedName>
  </definedNames>
  <calcPr fullCalcOnLoad="1"/>
</workbook>
</file>

<file path=xl/sharedStrings.xml><?xml version="1.0" encoding="utf-8"?>
<sst xmlns="http://schemas.openxmlformats.org/spreadsheetml/2006/main" count="717" uniqueCount="210">
  <si>
    <t>Envelope:</t>
  </si>
  <si>
    <t>Name:</t>
  </si>
  <si>
    <t>January</t>
  </si>
  <si>
    <t>Total</t>
  </si>
  <si>
    <t>February</t>
  </si>
  <si>
    <t>March</t>
  </si>
  <si>
    <t>April</t>
  </si>
  <si>
    <t>May</t>
  </si>
  <si>
    <t>June</t>
  </si>
  <si>
    <t>July</t>
  </si>
  <si>
    <t xml:space="preserve">August </t>
  </si>
  <si>
    <t xml:space="preserve">September </t>
  </si>
  <si>
    <t xml:space="preserve">October </t>
  </si>
  <si>
    <t xml:space="preserve">November </t>
  </si>
  <si>
    <t>December</t>
  </si>
  <si>
    <t>= Average/week based on:</t>
  </si>
  <si>
    <t>Sundays</t>
  </si>
  <si>
    <t>O</t>
  </si>
  <si>
    <t>N</t>
  </si>
  <si>
    <t>M</t>
  </si>
  <si>
    <t>L</t>
  </si>
  <si>
    <t>members</t>
  </si>
  <si>
    <t>$100.00 + avg/week</t>
  </si>
  <si>
    <t>$5200 + for year</t>
  </si>
  <si>
    <t>K</t>
  </si>
  <si>
    <t>$75.00 to $99.99 avg/week</t>
  </si>
  <si>
    <t>$3900 to $5199 for year</t>
  </si>
  <si>
    <t>J</t>
  </si>
  <si>
    <t>$50.00 to $74.99 avg/week</t>
  </si>
  <si>
    <t>$2600 to $3899 for year</t>
  </si>
  <si>
    <t>The boxes below reflect the number of members</t>
  </si>
  <si>
    <t>I</t>
  </si>
  <si>
    <t xml:space="preserve">contributing to the level of that step on the chart.  </t>
  </si>
  <si>
    <t>$40.00 to $49.99 avg/week</t>
  </si>
  <si>
    <t>$2080 to $2599 for year</t>
  </si>
  <si>
    <t>H</t>
  </si>
  <si>
    <t>$30.00 to $39.99 avg/week</t>
  </si>
  <si>
    <t>$1560 to $2079 for year</t>
  </si>
  <si>
    <t>G</t>
  </si>
  <si>
    <t>$25.00 to $29.99 avg/week</t>
  </si>
  <si>
    <t>$1300 to $1599 for year</t>
  </si>
  <si>
    <t>F</t>
  </si>
  <si>
    <t>$20.00 to $24.99 avg/week</t>
  </si>
  <si>
    <t>$1040 to $1299 for year</t>
  </si>
  <si>
    <t>E</t>
  </si>
  <si>
    <t>$15.00 to $19.99 avg/week</t>
  </si>
  <si>
    <t>$780 to $1039 for year</t>
  </si>
  <si>
    <t>D</t>
  </si>
  <si>
    <t>$10.00 to $14.99 avg/week</t>
  </si>
  <si>
    <t>$520 to $779 for year</t>
  </si>
  <si>
    <t>C</t>
  </si>
  <si>
    <t>$8.00 to $9.99 avg/week</t>
  </si>
  <si>
    <t>$416 to $519 for year</t>
  </si>
  <si>
    <t>B</t>
  </si>
  <si>
    <t>$6.00 to $7.99 avg/week</t>
  </si>
  <si>
    <t>$312 to $415 for year</t>
  </si>
  <si>
    <t>A</t>
  </si>
  <si>
    <t>$4.00 to $5.99 avg/week</t>
  </si>
  <si>
    <t>$208 to $311 for year</t>
  </si>
  <si>
    <t>$2.00 to $3.99 avg/week</t>
  </si>
  <si>
    <t>$104 to $207 for year</t>
  </si>
  <si>
    <t>$0 to $1.99 avg/week</t>
  </si>
  <si>
    <t>$0 - $103 for year</t>
  </si>
  <si>
    <t>$ 0.00 avg/week</t>
  </si>
  <si>
    <t>$0.00 for year</t>
  </si>
  <si>
    <t>Steps on using the Tithe chart</t>
  </si>
  <si>
    <t>Step 1</t>
  </si>
  <si>
    <t>Step 2</t>
  </si>
  <si>
    <t>Locate your income level, then move down the row to the right to find your "average giving per week" contribution.</t>
  </si>
  <si>
    <t>Step 3</t>
  </si>
  <si>
    <t>After locating that number move to the top of the column.</t>
  </si>
  <si>
    <t>Step 4</t>
  </si>
  <si>
    <t>*  Tithe is a term used in the Bible to specify that 10% of person/family's income was to be used for the Lord's work.</t>
  </si>
  <si>
    <t>Annual</t>
  </si>
  <si>
    <t>Monthly</t>
  </si>
  <si>
    <t>Weekly</t>
  </si>
  <si>
    <t>Lower Range</t>
  </si>
  <si>
    <t>Middle Range</t>
  </si>
  <si>
    <t>Upper Range</t>
  </si>
  <si>
    <t>Tithe</t>
  </si>
  <si>
    <t>Beyond a</t>
  </si>
  <si>
    <t>Income</t>
  </si>
  <si>
    <t>Giving</t>
  </si>
  <si>
    <t>*</t>
  </si>
  <si>
    <t>Sunday</t>
  </si>
  <si>
    <t>August</t>
  </si>
  <si>
    <t>September</t>
  </si>
  <si>
    <t>October</t>
  </si>
  <si>
    <t>November</t>
  </si>
  <si>
    <t>Year to Date (YTD)</t>
  </si>
  <si>
    <t xml:space="preserve">Year to Date Total </t>
  </si>
  <si>
    <t>Avg/Week</t>
  </si>
  <si>
    <t>Envelope</t>
  </si>
  <si>
    <t>Last Name</t>
  </si>
  <si>
    <t>First Name(s)</t>
  </si>
  <si>
    <t>Designated</t>
  </si>
  <si>
    <t>General Offering</t>
  </si>
  <si>
    <t>Total Envelope General Fund</t>
  </si>
  <si>
    <t>FAITH LUTHERAN CHURCH</t>
  </si>
  <si>
    <t>FINANCIAL SECRETARY REPORT</t>
  </si>
  <si>
    <t>Month of</t>
  </si>
  <si>
    <t>Y.T.D</t>
  </si>
  <si>
    <t>Y.T.D.</t>
  </si>
  <si>
    <t>Analysis</t>
  </si>
  <si>
    <t>Monthly Recap</t>
  </si>
  <si>
    <t>Loose</t>
  </si>
  <si>
    <t>Total Special Offerings/Funds</t>
  </si>
  <si>
    <t>Total Memorials</t>
  </si>
  <si>
    <t>Total Offering</t>
  </si>
  <si>
    <t>Total General Offering</t>
  </si>
  <si>
    <t>Needed Monthly</t>
  </si>
  <si>
    <t>Over/(Under) Budget</t>
  </si>
  <si>
    <t>Percent to budget</t>
  </si>
  <si>
    <t>Totals</t>
  </si>
  <si>
    <t>Weekly Recap</t>
  </si>
  <si>
    <t>Envelopes</t>
  </si>
  <si>
    <t>Direct Deposits</t>
  </si>
  <si>
    <t>Special Offerings/Funds</t>
  </si>
  <si>
    <t>Memorials</t>
  </si>
  <si>
    <t>Sub-Total</t>
  </si>
  <si>
    <t>Total General</t>
  </si>
  <si>
    <t>Deposit slips</t>
  </si>
  <si>
    <t>Over/Under</t>
  </si>
  <si>
    <t>Direct Deposit</t>
  </si>
  <si>
    <t>52</t>
  </si>
  <si>
    <t xml:space="preserve">2002 Year to Date Total </t>
  </si>
  <si>
    <t>3 4</t>
  </si>
  <si>
    <t xml:space="preserve"> </t>
  </si>
  <si>
    <t>(Example:  Your family earns $31,200 per year, you contributed  $30  avg per week, you gave 5% of your income so far in '03.)</t>
  </si>
  <si>
    <t>This is the percentage of your income you gave to the Lord's work in the first quarter of 2003.</t>
  </si>
  <si>
    <t>Find your "average giving per week" amount on the 2003 quarterly report.</t>
  </si>
  <si>
    <t>Move one column to the right to determine your Grow One Step contribution for 2004</t>
  </si>
  <si>
    <t>(Example:  this year take one step and contribute  $36  per week or 6% in 2004)</t>
  </si>
  <si>
    <t>2002 #'s are listed first / followed by 2003 #'s</t>
  </si>
  <si>
    <t>24/13</t>
  </si>
  <si>
    <t>19/13</t>
  </si>
  <si>
    <t>3/6</t>
  </si>
  <si>
    <t>12/5</t>
  </si>
  <si>
    <t>7/2</t>
  </si>
  <si>
    <t>3/1</t>
  </si>
  <si>
    <t>8/7</t>
  </si>
  <si>
    <t>8/2</t>
  </si>
  <si>
    <t>4/4</t>
  </si>
  <si>
    <t>1/3</t>
  </si>
  <si>
    <t>2/3</t>
  </si>
  <si>
    <t>3/3</t>
  </si>
  <si>
    <t>3/4</t>
  </si>
  <si>
    <t>2/2</t>
  </si>
  <si>
    <t>Direct deposit</t>
  </si>
  <si>
    <t>20 vs 19</t>
  </si>
  <si>
    <t>Defray envelope cost</t>
  </si>
  <si>
    <t>Mediation books</t>
  </si>
  <si>
    <t>Debt reductiion</t>
  </si>
  <si>
    <t>Prepare to answer book</t>
  </si>
  <si>
    <t>Mediation booklets annonymous</t>
  </si>
  <si>
    <t>Book prepare to answer</t>
  </si>
  <si>
    <t>DIY Advent kit</t>
  </si>
  <si>
    <t>Computer Hardware</t>
  </si>
  <si>
    <t>$150    #64</t>
  </si>
  <si>
    <t>Microphones</t>
  </si>
  <si>
    <t>$100 #69</t>
  </si>
  <si>
    <t>Altar Guild</t>
  </si>
  <si>
    <t>$13 #47</t>
  </si>
  <si>
    <t>$122 #33</t>
  </si>
  <si>
    <t>Hymnals</t>
  </si>
  <si>
    <t>T. McDowell relief</t>
  </si>
  <si>
    <t>$100 #74</t>
  </si>
  <si>
    <t>Loan Repayment #51</t>
  </si>
  <si>
    <t>In memory of Gati   #30</t>
  </si>
  <si>
    <t>Hymnary #16</t>
  </si>
  <si>
    <t>Devotion booklets annonymous</t>
  </si>
  <si>
    <t>Peru Teachers Fund</t>
  </si>
  <si>
    <t>Christmas and Pentacost Banners</t>
  </si>
  <si>
    <t>Anonymous Banner Fund</t>
  </si>
  <si>
    <t xml:space="preserve">Peru Teaches Fund #13 </t>
  </si>
  <si>
    <t>Church Banners #69</t>
  </si>
  <si>
    <t>Devotion booklets</t>
  </si>
  <si>
    <t>$4.00 Anonymous</t>
  </si>
  <si>
    <t>Paraments</t>
  </si>
  <si>
    <t>$100  #72</t>
  </si>
  <si>
    <t>$12  #39</t>
  </si>
  <si>
    <t>Hymnary</t>
  </si>
  <si>
    <t>$144 -#30</t>
  </si>
  <si>
    <t xml:space="preserve"> $144 -#33</t>
  </si>
  <si>
    <t xml:space="preserve">Hymnary </t>
  </si>
  <si>
    <t xml:space="preserve">Altar Guild </t>
  </si>
  <si>
    <t>$150 - #24</t>
  </si>
  <si>
    <t>$24 -#62</t>
  </si>
  <si>
    <t>$120 -#74</t>
  </si>
  <si>
    <t>$24    #24</t>
  </si>
  <si>
    <t>$275    #20</t>
  </si>
  <si>
    <t xml:space="preserve"> $24    #20</t>
  </si>
  <si>
    <t>$100 #29</t>
  </si>
  <si>
    <t xml:space="preserve">Paraments </t>
  </si>
  <si>
    <t>$600    #69</t>
  </si>
  <si>
    <t>Video equip for live stream</t>
  </si>
  <si>
    <t>$500 #29</t>
  </si>
  <si>
    <t>Meditation booklets</t>
  </si>
  <si>
    <t>$10 anonymous</t>
  </si>
  <si>
    <t>ELS monument</t>
  </si>
  <si>
    <t>$200 #30</t>
  </si>
  <si>
    <t>$29 annonymous</t>
  </si>
  <si>
    <t xml:space="preserve">B. STRUTZ  Paraments </t>
  </si>
  <si>
    <t xml:space="preserve"> Remote Christmas light #74</t>
  </si>
  <si>
    <t>Bows</t>
  </si>
  <si>
    <t>$16.80 #74</t>
  </si>
  <si>
    <t>Books annonymous</t>
  </si>
  <si>
    <t>debt reduction</t>
  </si>
  <si>
    <t>$500 #74</t>
  </si>
  <si>
    <t>Anonymous Meditation booklets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</si>
</sst>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_(&quot;$&quot;* #,##0.0_);_(&quot;$&quot;* \(#,##0.0\);_(&quot;$&quot;* &quot;-&quot;_);_(@_)"/>
    <numFmt numFmtId="168" formatCode="_(&quot;$&quot;* #,##0.00_);_(&quot;$&quot;* \(#,##0.00\);_(&quot;$&quot;* &quot;-&quot;_);_(@_)"/>
    <numFmt numFmtId="169" formatCode="_(&quot;$&quot;* #,##0.0000_);_(&quot;$&quot;* \(#,##0.0000\);_(&quot;$&quot;* &quot;-&quot;??_);_(@_)"/>
    <numFmt numFmtId="170" formatCode="[$-409]dddd\,\ mmmm\ d\,\ yyyy"/>
    <numFmt numFmtId="171" formatCode="[$-409]h:mm:ss\ AM/PM"/>
    <numFmt numFmtId="172" formatCode="&quot;$&quot;#,##0.00"/>
  </numFmts>
  <fonts count="54">
    <font>
      <sz val="10"/>
      <name val="Geneva"/>
      <family val="0"/>
    </font>
    <font>
      <b/>
      <sz val="10"/>
      <name val="Geneva"/>
      <family val="0"/>
    </font>
    <font>
      <i/>
      <sz val="10"/>
      <name val="Geneva"/>
      <family val="0"/>
    </font>
    <font>
      <b/>
      <i/>
      <sz val="10"/>
      <name val="Geneva"/>
      <family val="0"/>
    </font>
    <font>
      <b/>
      <sz val="12"/>
      <name val="Geneva"/>
      <family val="2"/>
    </font>
    <font>
      <sz val="12"/>
      <name val="Geneva"/>
      <family val="2"/>
    </font>
    <font>
      <b/>
      <sz val="14"/>
      <name val="Geneva"/>
      <family val="2"/>
    </font>
    <font>
      <sz val="14"/>
      <name val="Geneva"/>
      <family val="2"/>
    </font>
    <font>
      <b/>
      <sz val="10"/>
      <name val="MS Sans Serif"/>
      <family val="0"/>
    </font>
    <font>
      <b/>
      <sz val="10"/>
      <color indexed="8"/>
      <name val="MS Sans Serif"/>
      <family val="0"/>
    </font>
    <font>
      <sz val="10"/>
      <color indexed="8"/>
      <name val="Geneva"/>
      <family val="2"/>
    </font>
    <font>
      <sz val="10"/>
      <color indexed="8"/>
      <name val="MS Sans Serif"/>
      <family val="0"/>
    </font>
    <font>
      <sz val="10"/>
      <color indexed="10"/>
      <name val="Geneva"/>
      <family val="2"/>
    </font>
    <font>
      <u val="single"/>
      <sz val="10"/>
      <color indexed="12"/>
      <name val="Geneva"/>
      <family val="2"/>
    </font>
    <font>
      <u val="single"/>
      <sz val="10"/>
      <color indexed="36"/>
      <name val="Genev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Geneva"/>
      <family val="0"/>
    </font>
    <font>
      <b/>
      <sz val="24"/>
      <color indexed="8"/>
      <name val="Helv"/>
      <family val="0"/>
    </font>
    <font>
      <b/>
      <sz val="18"/>
      <color indexed="8"/>
      <name val="Helv"/>
      <family val="0"/>
    </font>
    <font>
      <b/>
      <sz val="24"/>
      <color indexed="8"/>
      <name val="Geneva"/>
      <family val="0"/>
    </font>
    <font>
      <i/>
      <sz val="10"/>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thin"/>
      <top>
        <color indexed="63"/>
      </top>
      <bottom style="thin"/>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style="thick"/>
      <right style="medium"/>
      <top style="thick"/>
      <bottom style="thick"/>
    </border>
    <border>
      <left style="medium"/>
      <right style="medium"/>
      <top style="thick"/>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92">
    <xf numFmtId="0" fontId="0" fillId="0" borderId="0" xfId="0" applyAlignment="1">
      <alignment/>
    </xf>
    <xf numFmtId="0" fontId="1" fillId="0" borderId="0" xfId="0" applyNumberFormat="1" applyFont="1" applyBorder="1" applyAlignment="1">
      <alignment horizontal="center"/>
    </xf>
    <xf numFmtId="0" fontId="0" fillId="0" borderId="0" xfId="0" applyNumberFormat="1" applyBorder="1" applyAlignment="1">
      <alignment horizontal="center"/>
    </xf>
    <xf numFmtId="0" fontId="1" fillId="0" borderId="10" xfId="0" applyNumberFormat="1" applyFont="1" applyBorder="1" applyAlignment="1">
      <alignment horizontal="center"/>
    </xf>
    <xf numFmtId="49" fontId="0" fillId="0" borderId="10" xfId="0" applyNumberFormat="1" applyBorder="1" applyAlignment="1">
      <alignment horizontal="center"/>
    </xf>
    <xf numFmtId="16" fontId="0" fillId="0" borderId="10" xfId="0" applyNumberFormat="1" applyBorder="1" applyAlignment="1">
      <alignment horizontal="center"/>
    </xf>
    <xf numFmtId="44" fontId="1" fillId="0" borderId="10" xfId="44" applyFont="1" applyBorder="1" applyAlignment="1">
      <alignment horizontal="center"/>
    </xf>
    <xf numFmtId="44" fontId="0" fillId="0" borderId="10" xfId="44" applyFont="1" applyBorder="1" applyAlignment="1">
      <alignment horizontal="center"/>
    </xf>
    <xf numFmtId="44" fontId="0" fillId="0" borderId="0" xfId="0" applyNumberFormat="1" applyBorder="1" applyAlignment="1">
      <alignment horizontal="center"/>
    </xf>
    <xf numFmtId="0" fontId="1" fillId="0" borderId="0" xfId="0" applyNumberFormat="1" applyFont="1" applyBorder="1" applyAlignment="1">
      <alignment horizontal="left"/>
    </xf>
    <xf numFmtId="49" fontId="0" fillId="0" borderId="11" xfId="0" applyNumberFormat="1" applyBorder="1" applyAlignment="1">
      <alignment horizontal="center"/>
    </xf>
    <xf numFmtId="49" fontId="0" fillId="0" borderId="12" xfId="0" applyNumberFormat="1" applyBorder="1" applyAlignment="1">
      <alignment horizontal="center"/>
    </xf>
    <xf numFmtId="49" fontId="0" fillId="0" borderId="13" xfId="0" applyNumberFormat="1" applyBorder="1" applyAlignment="1">
      <alignment horizontal="center"/>
    </xf>
    <xf numFmtId="44" fontId="0" fillId="0" borderId="0" xfId="44" applyFont="1" applyBorder="1" applyAlignment="1">
      <alignment horizontal="center"/>
    </xf>
    <xf numFmtId="49" fontId="0" fillId="0" borderId="0" xfId="0" applyNumberForma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xf>
    <xf numFmtId="16" fontId="0" fillId="0" borderId="15" xfId="0" applyNumberFormat="1" applyBorder="1" applyAlignment="1">
      <alignment horizontal="center"/>
    </xf>
    <xf numFmtId="16" fontId="0" fillId="0" borderId="16" xfId="0" applyNumberFormat="1" applyBorder="1" applyAlignment="1">
      <alignment horizontal="center"/>
    </xf>
    <xf numFmtId="16" fontId="0" fillId="0" borderId="17" xfId="0" applyNumberFormat="1" applyBorder="1" applyAlignment="1">
      <alignment horizontal="center"/>
    </xf>
    <xf numFmtId="44" fontId="0" fillId="0" borderId="15" xfId="44" applyFont="1" applyBorder="1" applyAlignment="1">
      <alignment horizontal="center"/>
    </xf>
    <xf numFmtId="0" fontId="0" fillId="0" borderId="0" xfId="0" applyBorder="1" applyAlignment="1">
      <alignment/>
    </xf>
    <xf numFmtId="0" fontId="0" fillId="0" borderId="0" xfId="0" applyBorder="1" applyAlignment="1">
      <alignment horizontal="center"/>
    </xf>
    <xf numFmtId="44" fontId="0" fillId="0" borderId="0" xfId="44" applyNumberFormat="1" applyFont="1" applyBorder="1" applyAlignment="1">
      <alignment/>
    </xf>
    <xf numFmtId="44" fontId="0" fillId="0" borderId="18" xfId="44" applyNumberFormat="1" applyFont="1" applyBorder="1" applyAlignment="1">
      <alignment/>
    </xf>
    <xf numFmtId="44" fontId="0" fillId="0" borderId="0" xfId="44" applyFont="1" applyBorder="1" applyAlignment="1">
      <alignment/>
    </xf>
    <xf numFmtId="44" fontId="0" fillId="0" borderId="18" xfId="44" applyFont="1" applyBorder="1" applyAlignment="1">
      <alignment horizontal="center"/>
    </xf>
    <xf numFmtId="44" fontId="0" fillId="0" borderId="19" xfId="44" applyNumberFormat="1" applyFont="1" applyBorder="1" applyAlignment="1">
      <alignment/>
    </xf>
    <xf numFmtId="44" fontId="0" fillId="0" borderId="20" xfId="44" applyNumberFormat="1" applyFont="1" applyBorder="1" applyAlignment="1">
      <alignment/>
    </xf>
    <xf numFmtId="44" fontId="0" fillId="0" borderId="21" xfId="44" applyNumberFormat="1" applyFont="1" applyBorder="1" applyAlignment="1">
      <alignment/>
    </xf>
    <xf numFmtId="44" fontId="0" fillId="0" borderId="22" xfId="44" applyNumberFormat="1" applyFont="1" applyBorder="1" applyAlignment="1">
      <alignment/>
    </xf>
    <xf numFmtId="0" fontId="1" fillId="0" borderId="0" xfId="0" applyFont="1" applyBorder="1" applyAlignment="1">
      <alignment horizontal="center"/>
    </xf>
    <xf numFmtId="0" fontId="1" fillId="0" borderId="0" xfId="0" applyFont="1" applyBorder="1" applyAlignment="1">
      <alignment/>
    </xf>
    <xf numFmtId="16" fontId="0" fillId="0" borderId="0" xfId="0" applyNumberFormat="1" applyBorder="1" applyAlignment="1">
      <alignment horizontal="center"/>
    </xf>
    <xf numFmtId="44" fontId="0" fillId="0" borderId="0" xfId="44" applyFont="1" applyBorder="1" applyAlignment="1">
      <alignment horizontal="centerContinuous"/>
    </xf>
    <xf numFmtId="44" fontId="0" fillId="0" borderId="0" xfId="0" applyNumberFormat="1" applyBorder="1" applyAlignment="1">
      <alignment horizontal="centerContinuous"/>
    </xf>
    <xf numFmtId="0" fontId="0" fillId="0" borderId="0" xfId="0" applyBorder="1" applyAlignment="1">
      <alignment horizontal="centerContinuous"/>
    </xf>
    <xf numFmtId="49" fontId="0" fillId="0" borderId="11" xfId="0" applyNumberFormat="1" applyFont="1" applyBorder="1" applyAlignment="1">
      <alignment horizontal="center"/>
    </xf>
    <xf numFmtId="44" fontId="0" fillId="0" borderId="0" xfId="44" applyNumberFormat="1" applyFont="1" applyBorder="1" applyAlignment="1">
      <alignment horizontal="center"/>
    </xf>
    <xf numFmtId="49" fontId="0" fillId="0" borderId="18" xfId="0" applyNumberFormat="1" applyBorder="1" applyAlignment="1">
      <alignment horizontal="center"/>
    </xf>
    <xf numFmtId="0" fontId="0" fillId="0" borderId="0" xfId="0" applyAlignment="1">
      <alignment horizontal="center"/>
    </xf>
    <xf numFmtId="0" fontId="0" fillId="0" borderId="0" xfId="0" applyBorder="1" applyAlignment="1">
      <alignment horizontal="left"/>
    </xf>
    <xf numFmtId="49" fontId="1" fillId="0" borderId="0" xfId="0" applyNumberFormat="1" applyFont="1" applyBorder="1" applyAlignment="1">
      <alignment/>
    </xf>
    <xf numFmtId="49" fontId="0" fillId="0" borderId="0" xfId="0" applyNumberFormat="1" applyBorder="1" applyAlignment="1">
      <alignment/>
    </xf>
    <xf numFmtId="49" fontId="1" fillId="0" borderId="18" xfId="0" applyNumberFormat="1" applyFont="1" applyBorder="1" applyAlignment="1">
      <alignment horizontal="center"/>
    </xf>
    <xf numFmtId="7" fontId="0" fillId="0" borderId="0" xfId="44" applyNumberFormat="1" applyFont="1" applyBorder="1" applyAlignment="1">
      <alignment horizontal="center"/>
    </xf>
    <xf numFmtId="0" fontId="0" fillId="0" borderId="0" xfId="0" applyNumberFormat="1" applyBorder="1" applyAlignment="1">
      <alignment/>
    </xf>
    <xf numFmtId="0" fontId="0" fillId="0" borderId="0" xfId="0" applyFont="1" applyBorder="1" applyAlignment="1">
      <alignment/>
    </xf>
    <xf numFmtId="0" fontId="0" fillId="0" borderId="23" xfId="0" applyBorder="1" applyAlignment="1">
      <alignment horizontal="center"/>
    </xf>
    <xf numFmtId="166" fontId="0" fillId="0" borderId="0" xfId="44" applyNumberFormat="1" applyFont="1" applyBorder="1" applyAlignment="1">
      <alignment/>
    </xf>
    <xf numFmtId="0" fontId="1" fillId="0" borderId="18" xfId="0" applyFont="1" applyBorder="1" applyAlignment="1">
      <alignment horizontal="center"/>
    </xf>
    <xf numFmtId="7" fontId="0" fillId="0" borderId="0" xfId="44" applyNumberFormat="1" applyFont="1" applyBorder="1" applyAlignment="1">
      <alignment horizontal="left"/>
    </xf>
    <xf numFmtId="0" fontId="0" fillId="0" borderId="18" xfId="0" applyNumberFormat="1" applyBorder="1" applyAlignment="1">
      <alignment/>
    </xf>
    <xf numFmtId="0" fontId="1" fillId="0" borderId="18" xfId="0" applyNumberFormat="1" applyFont="1" applyBorder="1" applyAlignment="1">
      <alignment horizontal="center"/>
    </xf>
    <xf numFmtId="0" fontId="0" fillId="0" borderId="18" xfId="0" applyBorder="1" applyAlignment="1">
      <alignment/>
    </xf>
    <xf numFmtId="0" fontId="0" fillId="0" borderId="18" xfId="0" applyBorder="1" applyAlignment="1">
      <alignment horizontal="center"/>
    </xf>
    <xf numFmtId="16" fontId="0" fillId="0" borderId="0" xfId="0" applyNumberFormat="1" applyBorder="1" applyAlignment="1">
      <alignment/>
    </xf>
    <xf numFmtId="0" fontId="0" fillId="0" borderId="0" xfId="42" applyNumberFormat="1" applyFont="1" applyBorder="1" applyAlignment="1">
      <alignment/>
    </xf>
    <xf numFmtId="0" fontId="1" fillId="0" borderId="0" xfId="0" applyFont="1" applyAlignment="1">
      <alignment/>
    </xf>
    <xf numFmtId="0" fontId="5" fillId="0" borderId="0" xfId="0" applyFont="1" applyAlignment="1">
      <alignment/>
    </xf>
    <xf numFmtId="0" fontId="4" fillId="0" borderId="24" xfId="0" applyFont="1" applyBorder="1" applyAlignment="1">
      <alignment horizontal="center"/>
    </xf>
    <xf numFmtId="0" fontId="4" fillId="0" borderId="13" xfId="0" applyFont="1" applyBorder="1" applyAlignment="1">
      <alignment horizontal="center"/>
    </xf>
    <xf numFmtId="44" fontId="4" fillId="0" borderId="24" xfId="44" applyFont="1" applyBorder="1" applyAlignment="1">
      <alignment horizontal="center"/>
    </xf>
    <xf numFmtId="0" fontId="4" fillId="0" borderId="25" xfId="0" applyFont="1" applyBorder="1" applyAlignment="1">
      <alignment horizontal="centerContinuous"/>
    </xf>
    <xf numFmtId="0" fontId="0" fillId="0" borderId="13" xfId="0" applyBorder="1" applyAlignment="1">
      <alignment horizontal="centerContinuous"/>
    </xf>
    <xf numFmtId="0" fontId="4" fillId="0" borderId="11" xfId="0" applyFont="1" applyBorder="1" applyAlignment="1">
      <alignment horizontal="centerContinuous"/>
    </xf>
    <xf numFmtId="0" fontId="4" fillId="0" borderId="13" xfId="0" applyFont="1" applyBorder="1" applyAlignment="1">
      <alignment horizontal="centerContinuous"/>
    </xf>
    <xf numFmtId="0" fontId="4" fillId="0" borderId="26" xfId="0" applyFont="1" applyBorder="1" applyAlignment="1">
      <alignment horizontal="center"/>
    </xf>
    <xf numFmtId="0" fontId="4" fillId="0" borderId="27" xfId="0" applyFont="1" applyBorder="1" applyAlignment="1">
      <alignment horizontal="center"/>
    </xf>
    <xf numFmtId="44" fontId="4" fillId="0" borderId="14" xfId="44" applyFont="1" applyBorder="1" applyAlignment="1">
      <alignment horizontal="centerContinuous"/>
    </xf>
    <xf numFmtId="0" fontId="0" fillId="0" borderId="17" xfId="0" applyBorder="1" applyAlignment="1">
      <alignment horizontal="centerContinuous"/>
    </xf>
    <xf numFmtId="0" fontId="0" fillId="0" borderId="28" xfId="0" applyBorder="1" applyAlignment="1">
      <alignment horizontal="center"/>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17" xfId="0" applyFont="1" applyBorder="1" applyAlignment="1">
      <alignment horizontal="centerContinuous"/>
    </xf>
    <xf numFmtId="0" fontId="5" fillId="0" borderId="28" xfId="0" applyFont="1" applyBorder="1" applyAlignment="1">
      <alignment horizontal="center"/>
    </xf>
    <xf numFmtId="0" fontId="5" fillId="0" borderId="17" xfId="0" applyFont="1" applyBorder="1" applyAlignment="1">
      <alignment horizontal="center"/>
    </xf>
    <xf numFmtId="44" fontId="5" fillId="0" borderId="28" xfId="44" applyFont="1" applyBorder="1" applyAlignment="1">
      <alignment/>
    </xf>
    <xf numFmtId="9" fontId="5" fillId="0" borderId="10" xfId="59" applyFont="1" applyBorder="1" applyAlignment="1">
      <alignment horizontal="center"/>
    </xf>
    <xf numFmtId="166" fontId="0" fillId="0" borderId="10" xfId="44" applyNumberFormat="1" applyFont="1" applyBorder="1" applyAlignment="1">
      <alignment/>
    </xf>
    <xf numFmtId="1" fontId="0" fillId="0" borderId="10" xfId="0" applyNumberFormat="1" applyBorder="1" applyAlignment="1">
      <alignment horizontal="center"/>
    </xf>
    <xf numFmtId="44" fontId="5" fillId="0" borderId="0" xfId="44" applyFont="1" applyAlignment="1">
      <alignment/>
    </xf>
    <xf numFmtId="44" fontId="1" fillId="0" borderId="0" xfId="44" applyFont="1" applyBorder="1" applyAlignment="1">
      <alignment horizontal="center"/>
    </xf>
    <xf numFmtId="0" fontId="4" fillId="0" borderId="0" xfId="0" applyNumberFormat="1" applyFont="1" applyBorder="1" applyAlignment="1">
      <alignment horizontal="center"/>
    </xf>
    <xf numFmtId="0" fontId="4" fillId="0" borderId="29" xfId="0" applyNumberFormat="1" applyFont="1" applyBorder="1" applyAlignment="1">
      <alignment horizontal="center"/>
    </xf>
    <xf numFmtId="44" fontId="4" fillId="0" borderId="29" xfId="44" applyFont="1" applyBorder="1" applyAlignment="1">
      <alignment horizontal="left"/>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168" fontId="6" fillId="0" borderId="30" xfId="0" applyNumberFormat="1" applyFont="1" applyBorder="1" applyAlignment="1">
      <alignment horizontal="center"/>
    </xf>
    <xf numFmtId="0" fontId="6" fillId="0" borderId="0" xfId="0" applyNumberFormat="1" applyFont="1" applyBorder="1" applyAlignment="1" quotePrefix="1">
      <alignment horizontal="left"/>
    </xf>
    <xf numFmtId="0" fontId="7" fillId="0" borderId="0" xfId="0" applyNumberFormat="1" applyFont="1" applyBorder="1" applyAlignment="1">
      <alignment horizontal="center"/>
    </xf>
    <xf numFmtId="0" fontId="5" fillId="0" borderId="0" xfId="0" applyNumberFormat="1" applyFont="1" applyBorder="1" applyAlignment="1">
      <alignment horizontal="center"/>
    </xf>
    <xf numFmtId="44" fontId="4" fillId="0" borderId="30" xfId="44" applyFont="1" applyBorder="1" applyAlignment="1">
      <alignment horizontal="center"/>
    </xf>
    <xf numFmtId="0" fontId="0" fillId="0" borderId="24" xfId="0" applyBorder="1" applyAlignment="1">
      <alignment/>
    </xf>
    <xf numFmtId="0" fontId="0" fillId="0" borderId="26" xfId="0" applyBorder="1" applyAlignment="1">
      <alignment/>
    </xf>
    <xf numFmtId="0" fontId="0" fillId="0" borderId="28" xfId="0" applyBorder="1" applyAlignment="1">
      <alignment/>
    </xf>
    <xf numFmtId="0" fontId="1" fillId="0" borderId="0" xfId="0" applyFont="1" applyBorder="1" applyAlignment="1">
      <alignment horizontal="left"/>
    </xf>
    <xf numFmtId="0" fontId="0" fillId="33" borderId="0" xfId="0" applyNumberFormat="1" applyFill="1" applyBorder="1" applyAlignment="1">
      <alignment/>
    </xf>
    <xf numFmtId="7" fontId="0" fillId="0" borderId="0" xfId="44" applyNumberFormat="1" applyFont="1" applyBorder="1" applyAlignment="1">
      <alignment/>
    </xf>
    <xf numFmtId="0" fontId="0" fillId="0" borderId="0" xfId="44" applyNumberFormat="1" applyFont="1" applyBorder="1" applyAlignment="1">
      <alignment horizontal="left"/>
    </xf>
    <xf numFmtId="0" fontId="0" fillId="34" borderId="0" xfId="0" applyFill="1" applyAlignment="1">
      <alignment/>
    </xf>
    <xf numFmtId="1" fontId="0" fillId="0" borderId="10" xfId="0" applyNumberFormat="1" applyFill="1" applyBorder="1" applyAlignment="1">
      <alignment horizontal="center"/>
    </xf>
    <xf numFmtId="0" fontId="0" fillId="0" borderId="0" xfId="0" applyFont="1" applyAlignment="1">
      <alignment/>
    </xf>
    <xf numFmtId="0" fontId="0" fillId="34" borderId="0" xfId="0" applyFont="1" applyFill="1" applyAlignment="1">
      <alignment/>
    </xf>
    <xf numFmtId="166" fontId="0" fillId="34" borderId="10" xfId="44" applyNumberFormat="1" applyFont="1" applyFill="1" applyBorder="1" applyAlignment="1">
      <alignment/>
    </xf>
    <xf numFmtId="1" fontId="0" fillId="34" borderId="10" xfId="0" applyNumberFormat="1" applyFont="1" applyFill="1" applyBorder="1" applyAlignment="1">
      <alignment horizontal="center"/>
    </xf>
    <xf numFmtId="9" fontId="5" fillId="34" borderId="10" xfId="59" applyFont="1" applyFill="1" applyBorder="1" applyAlignment="1">
      <alignment horizontal="center"/>
    </xf>
    <xf numFmtId="1" fontId="0" fillId="34" borderId="10" xfId="0" applyNumberFormat="1" applyFont="1" applyFill="1" applyBorder="1" applyAlignment="1">
      <alignment horizontal="center"/>
    </xf>
    <xf numFmtId="0" fontId="1" fillId="0" borderId="0" xfId="0" applyFont="1" applyAlignment="1">
      <alignment horizontal="left"/>
    </xf>
    <xf numFmtId="0" fontId="0" fillId="0" borderId="0" xfId="0" applyFont="1" applyAlignment="1">
      <alignment/>
    </xf>
    <xf numFmtId="0" fontId="0" fillId="0" borderId="0" xfId="44" applyNumberFormat="1" applyFont="1" applyAlignment="1">
      <alignment/>
    </xf>
    <xf numFmtId="1" fontId="0" fillId="34" borderId="10" xfId="0" applyNumberFormat="1" applyFill="1" applyBorder="1" applyAlignment="1">
      <alignment horizontal="center"/>
    </xf>
    <xf numFmtId="1" fontId="0" fillId="0" borderId="10" xfId="0" applyNumberFormat="1" applyFont="1" applyFill="1" applyBorder="1" applyAlignment="1">
      <alignment horizontal="center"/>
    </xf>
    <xf numFmtId="0" fontId="5" fillId="0" borderId="0" xfId="0" applyFont="1" applyBorder="1" applyAlignment="1">
      <alignment/>
    </xf>
    <xf numFmtId="16" fontId="0" fillId="0" borderId="25" xfId="0" applyNumberFormat="1" applyBorder="1" applyAlignment="1">
      <alignment horizontal="center"/>
    </xf>
    <xf numFmtId="16" fontId="0" fillId="0" borderId="11" xfId="0" applyNumberFormat="1" applyBorder="1" applyAlignment="1">
      <alignment horizontal="center"/>
    </xf>
    <xf numFmtId="16" fontId="0" fillId="0" borderId="13" xfId="0" applyNumberFormat="1" applyBorder="1" applyAlignment="1">
      <alignment horizontal="center"/>
    </xf>
    <xf numFmtId="49" fontId="0" fillId="0" borderId="14" xfId="42" applyNumberFormat="1" applyFont="1" applyBorder="1" applyAlignment="1">
      <alignment horizontal="center"/>
    </xf>
    <xf numFmtId="49" fontId="0" fillId="0" borderId="15" xfId="42" applyNumberFormat="1" applyFont="1" applyBorder="1" applyAlignment="1">
      <alignment horizontal="center"/>
    </xf>
    <xf numFmtId="49" fontId="0" fillId="0" borderId="17" xfId="42" applyNumberFormat="1" applyFont="1" applyBorder="1" applyAlignment="1">
      <alignment horizontal="center"/>
    </xf>
    <xf numFmtId="16" fontId="0" fillId="0" borderId="12" xfId="0" applyNumberFormat="1" applyBorder="1" applyAlignment="1">
      <alignment horizontal="center"/>
    </xf>
    <xf numFmtId="49" fontId="0" fillId="0" borderId="16" xfId="42" applyNumberFormat="1" applyFont="1" applyBorder="1" applyAlignment="1">
      <alignment horizontal="center"/>
    </xf>
    <xf numFmtId="14" fontId="1" fillId="0" borderId="0" xfId="44" applyNumberFormat="1" applyFont="1" applyBorder="1" applyAlignment="1">
      <alignment horizontal="left"/>
    </xf>
    <xf numFmtId="44" fontId="8" fillId="0" borderId="0" xfId="44" applyFont="1" applyBorder="1" applyAlignment="1">
      <alignment/>
    </xf>
    <xf numFmtId="44" fontId="8" fillId="0" borderId="25" xfId="44" applyFont="1" applyBorder="1" applyAlignment="1">
      <alignment horizontal="center"/>
    </xf>
    <xf numFmtId="44" fontId="8" fillId="0" borderId="13" xfId="44" applyFont="1" applyBorder="1" applyAlignment="1">
      <alignment horizontal="center"/>
    </xf>
    <xf numFmtId="44" fontId="8" fillId="0" borderId="0" xfId="44" applyFont="1" applyBorder="1" applyAlignment="1">
      <alignment horizontal="center"/>
    </xf>
    <xf numFmtId="0" fontId="1" fillId="0" borderId="15" xfId="0" applyFont="1" applyBorder="1" applyAlignment="1">
      <alignment horizontal="center"/>
    </xf>
    <xf numFmtId="44" fontId="1" fillId="0" borderId="14" xfId="44" applyFont="1" applyBorder="1" applyAlignment="1">
      <alignment horizontal="center"/>
    </xf>
    <xf numFmtId="44" fontId="8" fillId="0" borderId="0" xfId="44" applyFont="1" applyBorder="1" applyAlignment="1" quotePrefix="1">
      <alignment horizontal="center"/>
    </xf>
    <xf numFmtId="0" fontId="9" fillId="0" borderId="0" xfId="0" applyFont="1" applyBorder="1" applyAlignment="1">
      <alignment horizontal="center"/>
    </xf>
    <xf numFmtId="44" fontId="0" fillId="0" borderId="31" xfId="44" applyFont="1" applyBorder="1" applyAlignment="1">
      <alignment/>
    </xf>
    <xf numFmtId="44" fontId="0" fillId="0" borderId="27" xfId="44" applyFont="1" applyBorder="1" applyAlignment="1">
      <alignment/>
    </xf>
    <xf numFmtId="0" fontId="10" fillId="0" borderId="0" xfId="0" applyFont="1" applyBorder="1" applyAlignment="1">
      <alignment horizontal="center"/>
    </xf>
    <xf numFmtId="0" fontId="11" fillId="0" borderId="0" xfId="0" applyFont="1" applyBorder="1" applyAlignment="1">
      <alignment horizontal="center"/>
    </xf>
    <xf numFmtId="44" fontId="0" fillId="0" borderId="14" xfId="44" applyFont="1" applyBorder="1" applyAlignment="1">
      <alignment/>
    </xf>
    <xf numFmtId="44" fontId="0" fillId="0" borderId="17" xfId="44" applyFont="1" applyBorder="1" applyAlignment="1">
      <alignment/>
    </xf>
    <xf numFmtId="49" fontId="1" fillId="0" borderId="0" xfId="0" applyNumberFormat="1" applyFont="1" applyBorder="1" applyAlignment="1">
      <alignment horizontal="center"/>
    </xf>
    <xf numFmtId="0" fontId="8" fillId="0" borderId="15" xfId="0" applyFont="1" applyBorder="1" applyAlignment="1">
      <alignment horizontal="center"/>
    </xf>
    <xf numFmtId="16" fontId="1" fillId="0" borderId="15" xfId="0" applyNumberFormat="1" applyFont="1" applyBorder="1" applyAlignment="1">
      <alignment horizontal="center"/>
    </xf>
    <xf numFmtId="8" fontId="0" fillId="0" borderId="0" xfId="0" applyNumberFormat="1" applyBorder="1" applyAlignment="1">
      <alignment/>
    </xf>
    <xf numFmtId="44" fontId="0" fillId="0" borderId="0" xfId="0" applyNumberFormat="1" applyBorder="1" applyAlignment="1">
      <alignment/>
    </xf>
    <xf numFmtId="0" fontId="0" fillId="0" borderId="0" xfId="0" applyFill="1" applyBorder="1" applyAlignment="1">
      <alignment horizontal="center"/>
    </xf>
    <xf numFmtId="44" fontId="0" fillId="0" borderId="0" xfId="44" applyFont="1" applyFill="1" applyBorder="1" applyAlignment="1">
      <alignment/>
    </xf>
    <xf numFmtId="44" fontId="0" fillId="0" borderId="0" xfId="0" applyNumberFormat="1" applyFont="1" applyFill="1" applyBorder="1" applyAlignment="1">
      <alignment/>
    </xf>
    <xf numFmtId="44" fontId="1" fillId="0" borderId="0" xfId="44" applyFont="1" applyFill="1" applyBorder="1" applyAlignment="1">
      <alignment horizontal="center"/>
    </xf>
    <xf numFmtId="44" fontId="0" fillId="0" borderId="0" xfId="44" applyFont="1" applyAlignment="1">
      <alignment/>
    </xf>
    <xf numFmtId="49" fontId="1" fillId="0" borderId="25" xfId="0" applyNumberFormat="1" applyFont="1" applyBorder="1" applyAlignment="1">
      <alignment horizontal="center"/>
    </xf>
    <xf numFmtId="49" fontId="0" fillId="0" borderId="0" xfId="0" applyNumberFormat="1" applyAlignment="1">
      <alignment horizontal="center"/>
    </xf>
    <xf numFmtId="49" fontId="0" fillId="0" borderId="0" xfId="44" applyNumberFormat="1" applyFont="1" applyBorder="1" applyAlignment="1">
      <alignment horizontal="center"/>
    </xf>
    <xf numFmtId="49" fontId="0" fillId="0" borderId="25" xfId="0" applyNumberFormat="1" applyBorder="1" applyAlignment="1">
      <alignment horizontal="center"/>
    </xf>
    <xf numFmtId="44" fontId="1" fillId="0" borderId="15" xfId="0" applyNumberFormat="1" applyFont="1" applyBorder="1" applyAlignment="1">
      <alignment horizontal="center"/>
    </xf>
    <xf numFmtId="44" fontId="8" fillId="0" borderId="15" xfId="44" applyFont="1" applyBorder="1" applyAlignment="1">
      <alignment horizontal="center"/>
    </xf>
    <xf numFmtId="14" fontId="1" fillId="0" borderId="0" xfId="44" applyNumberFormat="1" applyFont="1" applyBorder="1" applyAlignment="1">
      <alignment horizontal="center"/>
    </xf>
    <xf numFmtId="44" fontId="0" fillId="0" borderId="15" xfId="44" applyFont="1" applyBorder="1" applyAlignment="1">
      <alignment/>
    </xf>
    <xf numFmtId="0" fontId="0" fillId="0" borderId="15" xfId="0" applyBorder="1" applyAlignment="1">
      <alignment/>
    </xf>
    <xf numFmtId="9" fontId="0" fillId="0" borderId="0" xfId="59" applyFont="1" applyBorder="1" applyAlignment="1">
      <alignment/>
    </xf>
    <xf numFmtId="49" fontId="6" fillId="0" borderId="32" xfId="0" applyNumberFormat="1" applyFont="1" applyBorder="1" applyAlignment="1">
      <alignment horizontal="center"/>
    </xf>
    <xf numFmtId="44" fontId="4" fillId="0" borderId="29" xfId="44" applyFont="1" applyBorder="1" applyAlignment="1">
      <alignment horizontal="right"/>
    </xf>
    <xf numFmtId="0" fontId="0" fillId="0" borderId="0" xfId="0" applyAlignment="1">
      <alignment horizontal="right"/>
    </xf>
    <xf numFmtId="0" fontId="0" fillId="0" borderId="29" xfId="0" applyBorder="1" applyAlignment="1">
      <alignment/>
    </xf>
    <xf numFmtId="44" fontId="0" fillId="0" borderId="18" xfId="44" applyFont="1" applyBorder="1" applyAlignment="1">
      <alignment/>
    </xf>
    <xf numFmtId="0" fontId="0" fillId="0" borderId="0" xfId="0" applyAlignment="1">
      <alignment horizontal="centerContinuous"/>
    </xf>
    <xf numFmtId="44" fontId="0" fillId="0" borderId="0" xfId="0" applyNumberFormat="1" applyAlignment="1">
      <alignment/>
    </xf>
    <xf numFmtId="0" fontId="0" fillId="0" borderId="0" xfId="0" applyFill="1" applyBorder="1" applyAlignment="1">
      <alignment horizontal="centerContinuous"/>
    </xf>
    <xf numFmtId="9" fontId="0" fillId="0" borderId="0" xfId="59" applyFont="1" applyFill="1" applyBorder="1" applyAlignment="1">
      <alignment horizontal="center"/>
    </xf>
    <xf numFmtId="0" fontId="0" fillId="0" borderId="0" xfId="0" applyFill="1" applyBorder="1" applyAlignment="1">
      <alignment/>
    </xf>
    <xf numFmtId="0" fontId="0" fillId="0" borderId="0" xfId="0" applyNumberFormat="1" applyBorder="1" applyAlignment="1">
      <alignment horizontal="left"/>
    </xf>
    <xf numFmtId="44" fontId="12" fillId="0" borderId="0" xfId="44" applyFont="1" applyBorder="1" applyAlignment="1">
      <alignment/>
    </xf>
    <xf numFmtId="0" fontId="12" fillId="0" borderId="0" xfId="0" applyFont="1" applyBorder="1" applyAlignment="1">
      <alignment horizontal="center"/>
    </xf>
    <xf numFmtId="0" fontId="12" fillId="0" borderId="0" xfId="0" applyFont="1" applyAlignment="1">
      <alignment/>
    </xf>
    <xf numFmtId="0" fontId="12" fillId="0" borderId="0" xfId="0" applyFont="1" applyBorder="1" applyAlignment="1">
      <alignment/>
    </xf>
    <xf numFmtId="44" fontId="12" fillId="0" borderId="0" xfId="0" applyNumberFormat="1" applyFont="1" applyBorder="1" applyAlignment="1">
      <alignment/>
    </xf>
    <xf numFmtId="0" fontId="0" fillId="0" borderId="0" xfId="0" applyFont="1" applyBorder="1" applyAlignment="1">
      <alignment horizontal="left"/>
    </xf>
    <xf numFmtId="0" fontId="0" fillId="0" borderId="0" xfId="0" applyFont="1" applyBorder="1" applyAlignment="1">
      <alignment horizontal="center"/>
    </xf>
    <xf numFmtId="44" fontId="0" fillId="0" borderId="0" xfId="0" applyNumberFormat="1" applyFont="1" applyBorder="1" applyAlignment="1">
      <alignment/>
    </xf>
    <xf numFmtId="44" fontId="0" fillId="0" borderId="0" xfId="44" applyFont="1" applyBorder="1" applyAlignment="1">
      <alignment horizontal="left"/>
    </xf>
    <xf numFmtId="44" fontId="0" fillId="0" borderId="33" xfId="44" applyFont="1" applyBorder="1" applyAlignment="1">
      <alignment horizontal="center"/>
    </xf>
    <xf numFmtId="0" fontId="0" fillId="0" borderId="0" xfId="0" applyFill="1" applyAlignment="1">
      <alignment/>
    </xf>
    <xf numFmtId="44" fontId="1" fillId="0" borderId="0" xfId="0" applyNumberFormat="1" applyFont="1" applyBorder="1" applyAlignment="1">
      <alignment horizontal="center"/>
    </xf>
    <xf numFmtId="44" fontId="1" fillId="0" borderId="0" xfId="0" applyNumberFormat="1" applyFont="1" applyFill="1" applyBorder="1" applyAlignment="1">
      <alignment/>
    </xf>
    <xf numFmtId="0" fontId="1" fillId="0" borderId="34" xfId="0" applyFont="1" applyBorder="1" applyAlignment="1">
      <alignment/>
    </xf>
    <xf numFmtId="0" fontId="1" fillId="0" borderId="35" xfId="0" applyFont="1" applyBorder="1" applyAlignment="1">
      <alignment/>
    </xf>
    <xf numFmtId="0" fontId="1" fillId="0" borderId="36" xfId="0" applyFont="1" applyBorder="1" applyAlignment="1">
      <alignment horizontal="center"/>
    </xf>
    <xf numFmtId="44" fontId="0" fillId="0" borderId="0" xfId="44" applyFont="1" applyAlignment="1">
      <alignment horizontal="center"/>
    </xf>
    <xf numFmtId="0" fontId="9" fillId="35" borderId="37" xfId="0" applyFont="1" applyFill="1" applyBorder="1" applyAlignment="1">
      <alignment horizontal="center"/>
    </xf>
    <xf numFmtId="44" fontId="0" fillId="35" borderId="37" xfId="44" applyFont="1" applyFill="1" applyBorder="1" applyAlignment="1">
      <alignment/>
    </xf>
    <xf numFmtId="0" fontId="1" fillId="35" borderId="37" xfId="0" applyFont="1" applyFill="1" applyBorder="1" applyAlignment="1">
      <alignment horizontal="center"/>
    </xf>
    <xf numFmtId="44" fontId="1" fillId="35" borderId="35" xfId="44" applyFont="1" applyFill="1" applyBorder="1" applyAlignment="1">
      <alignment/>
    </xf>
    <xf numFmtId="44" fontId="1" fillId="35" borderId="34" xfId="0" applyNumberFormat="1" applyFont="1" applyFill="1" applyBorder="1" applyAlignment="1">
      <alignment/>
    </xf>
    <xf numFmtId="0" fontId="9" fillId="36" borderId="36" xfId="0" applyFont="1" applyFill="1" applyBorder="1" applyAlignment="1">
      <alignment horizontal="center"/>
    </xf>
    <xf numFmtId="0" fontId="1" fillId="36" borderId="36" xfId="0" applyFont="1" applyFill="1" applyBorder="1" applyAlignment="1">
      <alignment horizontal="center"/>
    </xf>
    <xf numFmtId="44" fontId="1" fillId="36" borderId="37" xfId="44" applyFont="1" applyFill="1" applyBorder="1" applyAlignment="1">
      <alignment/>
    </xf>
    <xf numFmtId="0" fontId="9" fillId="37" borderId="36" xfId="0" applyFont="1" applyFill="1" applyBorder="1" applyAlignment="1">
      <alignment horizontal="center"/>
    </xf>
    <xf numFmtId="44" fontId="0" fillId="37" borderId="37" xfId="44" applyFont="1" applyFill="1" applyBorder="1" applyAlignment="1">
      <alignment/>
    </xf>
    <xf numFmtId="44" fontId="0" fillId="37" borderId="34" xfId="44" applyFont="1" applyFill="1" applyBorder="1" applyAlignment="1">
      <alignment/>
    </xf>
    <xf numFmtId="0" fontId="1" fillId="37" borderId="36" xfId="0" applyFont="1" applyFill="1" applyBorder="1" applyAlignment="1">
      <alignment horizontal="center"/>
    </xf>
    <xf numFmtId="44" fontId="1" fillId="37" borderId="37" xfId="44" applyFont="1" applyFill="1" applyBorder="1" applyAlignment="1">
      <alignment/>
    </xf>
    <xf numFmtId="44" fontId="0" fillId="37" borderId="34" xfId="0" applyNumberFormat="1" applyFill="1" applyBorder="1" applyAlignment="1">
      <alignment/>
    </xf>
    <xf numFmtId="0" fontId="9" fillId="38" borderId="36" xfId="0" applyFont="1" applyFill="1" applyBorder="1" applyAlignment="1">
      <alignment horizontal="center"/>
    </xf>
    <xf numFmtId="44" fontId="0" fillId="38" borderId="37" xfId="44" applyFont="1" applyFill="1" applyBorder="1" applyAlignment="1">
      <alignment/>
    </xf>
    <xf numFmtId="44" fontId="0" fillId="38" borderId="34" xfId="44" applyFont="1" applyFill="1" applyBorder="1" applyAlignment="1">
      <alignment/>
    </xf>
    <xf numFmtId="0" fontId="1" fillId="38" borderId="36" xfId="0" applyFont="1" applyFill="1" applyBorder="1" applyAlignment="1">
      <alignment horizontal="center"/>
    </xf>
    <xf numFmtId="44" fontId="1" fillId="38" borderId="37" xfId="44" applyFont="1" applyFill="1" applyBorder="1" applyAlignment="1">
      <alignment/>
    </xf>
    <xf numFmtId="44" fontId="1" fillId="38" borderId="37" xfId="0" applyNumberFormat="1" applyFont="1" applyFill="1" applyBorder="1" applyAlignment="1">
      <alignment/>
    </xf>
    <xf numFmtId="0" fontId="9" fillId="39" borderId="36" xfId="0" applyFont="1" applyFill="1" applyBorder="1" applyAlignment="1">
      <alignment horizontal="center"/>
    </xf>
    <xf numFmtId="44" fontId="0" fillId="39" borderId="37" xfId="44" applyFont="1" applyFill="1" applyBorder="1" applyAlignment="1">
      <alignment/>
    </xf>
    <xf numFmtId="44" fontId="0" fillId="39" borderId="34" xfId="44" applyFont="1" applyFill="1" applyBorder="1" applyAlignment="1">
      <alignment/>
    </xf>
    <xf numFmtId="0" fontId="1" fillId="39" borderId="36" xfId="0" applyFont="1" applyFill="1" applyBorder="1" applyAlignment="1">
      <alignment horizontal="center"/>
    </xf>
    <xf numFmtId="44" fontId="1" fillId="39" borderId="37" xfId="44" applyFont="1" applyFill="1" applyBorder="1" applyAlignment="1">
      <alignment/>
    </xf>
    <xf numFmtId="44" fontId="1" fillId="39" borderId="34" xfId="0" applyNumberFormat="1" applyFont="1" applyFill="1" applyBorder="1" applyAlignment="1">
      <alignment/>
    </xf>
    <xf numFmtId="0" fontId="9" fillId="40" borderId="36" xfId="0" applyFont="1" applyFill="1" applyBorder="1" applyAlignment="1">
      <alignment horizontal="center"/>
    </xf>
    <xf numFmtId="44" fontId="0" fillId="40" borderId="34" xfId="44" applyFont="1" applyFill="1" applyBorder="1" applyAlignment="1">
      <alignment/>
    </xf>
    <xf numFmtId="0" fontId="1" fillId="40" borderId="36" xfId="0" applyFont="1" applyFill="1" applyBorder="1" applyAlignment="1">
      <alignment horizontal="center"/>
    </xf>
    <xf numFmtId="44" fontId="1" fillId="40" borderId="37" xfId="44" applyFont="1" applyFill="1" applyBorder="1" applyAlignment="1">
      <alignment/>
    </xf>
    <xf numFmtId="0" fontId="9" fillId="41" borderId="36" xfId="0" applyFont="1" applyFill="1" applyBorder="1" applyAlignment="1">
      <alignment horizontal="center"/>
    </xf>
    <xf numFmtId="44" fontId="0" fillId="41" borderId="34" xfId="44" applyFont="1" applyFill="1" applyBorder="1" applyAlignment="1">
      <alignment/>
    </xf>
    <xf numFmtId="0" fontId="1" fillId="41" borderId="38" xfId="0" applyFont="1" applyFill="1" applyBorder="1" applyAlignment="1">
      <alignment horizontal="center"/>
    </xf>
    <xf numFmtId="44" fontId="1" fillId="41" borderId="39" xfId="44" applyFont="1" applyFill="1" applyBorder="1" applyAlignment="1">
      <alignment/>
    </xf>
    <xf numFmtId="44" fontId="1" fillId="41" borderId="40" xfId="0" applyNumberFormat="1" applyFont="1" applyFill="1" applyBorder="1" applyAlignment="1">
      <alignment/>
    </xf>
    <xf numFmtId="0" fontId="9" fillId="42" borderId="38" xfId="0" applyFont="1" applyFill="1" applyBorder="1" applyAlignment="1">
      <alignment horizontal="center"/>
    </xf>
    <xf numFmtId="44" fontId="0" fillId="42" borderId="38" xfId="44" applyFont="1" applyFill="1" applyBorder="1" applyAlignment="1">
      <alignment/>
    </xf>
    <xf numFmtId="44" fontId="0" fillId="42" borderId="40" xfId="44" applyFont="1" applyFill="1" applyBorder="1" applyAlignment="1">
      <alignment/>
    </xf>
    <xf numFmtId="0" fontId="1" fillId="42" borderId="38" xfId="0" applyFont="1" applyFill="1" applyBorder="1" applyAlignment="1">
      <alignment horizontal="center"/>
    </xf>
    <xf numFmtId="44" fontId="1" fillId="42" borderId="39" xfId="44" applyFont="1" applyFill="1" applyBorder="1" applyAlignment="1">
      <alignment/>
    </xf>
    <xf numFmtId="44" fontId="1" fillId="42" borderId="38" xfId="0" applyNumberFormat="1" applyFont="1" applyFill="1" applyBorder="1" applyAlignment="1">
      <alignment/>
    </xf>
    <xf numFmtId="0" fontId="9" fillId="42" borderId="41" xfId="0" applyFont="1" applyFill="1" applyBorder="1" applyAlignment="1">
      <alignment horizontal="center"/>
    </xf>
    <xf numFmtId="0" fontId="1" fillId="40" borderId="38" xfId="0" applyFont="1" applyFill="1" applyBorder="1" applyAlignment="1">
      <alignment horizontal="center"/>
    </xf>
    <xf numFmtId="44" fontId="1" fillId="40" borderId="39" xfId="44" applyFont="1" applyFill="1" applyBorder="1" applyAlignment="1">
      <alignment/>
    </xf>
    <xf numFmtId="44" fontId="1" fillId="40" borderId="40" xfId="44" applyFont="1" applyFill="1" applyBorder="1" applyAlignment="1">
      <alignment/>
    </xf>
    <xf numFmtId="44" fontId="0" fillId="0" borderId="0" xfId="44" applyBorder="1" applyAlignment="1">
      <alignment/>
    </xf>
    <xf numFmtId="44" fontId="0" fillId="0" borderId="0" xfId="44" applyFill="1" applyBorder="1" applyAlignment="1">
      <alignment/>
    </xf>
    <xf numFmtId="44" fontId="0" fillId="0" borderId="31" xfId="44" applyBorder="1" applyAlignment="1">
      <alignment/>
    </xf>
    <xf numFmtId="44" fontId="0" fillId="0" borderId="27" xfId="44" applyBorder="1" applyAlignment="1">
      <alignment/>
    </xf>
    <xf numFmtId="44" fontId="0" fillId="42" borderId="42" xfId="44" applyFill="1" applyBorder="1" applyAlignment="1">
      <alignment/>
    </xf>
    <xf numFmtId="44" fontId="0" fillId="42" borderId="40" xfId="44" applyFill="1" applyBorder="1" applyAlignment="1">
      <alignment/>
    </xf>
    <xf numFmtId="44" fontId="0" fillId="0" borderId="14" xfId="44" applyBorder="1" applyAlignment="1">
      <alignment/>
    </xf>
    <xf numFmtId="44" fontId="0" fillId="0" borderId="17" xfId="44" applyBorder="1" applyAlignment="1">
      <alignment/>
    </xf>
    <xf numFmtId="9" fontId="0" fillId="0" borderId="0" xfId="59" applyBorder="1" applyAlignment="1">
      <alignment/>
    </xf>
    <xf numFmtId="44" fontId="0" fillId="0" borderId="0" xfId="44" applyAlignment="1">
      <alignment/>
    </xf>
    <xf numFmtId="8" fontId="0" fillId="0" borderId="0" xfId="44" applyNumberFormat="1" applyFont="1" applyBorder="1" applyAlignment="1">
      <alignment/>
    </xf>
    <xf numFmtId="16" fontId="1" fillId="0" borderId="0" xfId="0" applyNumberFormat="1" applyFont="1" applyBorder="1" applyAlignment="1">
      <alignment horizontal="center"/>
    </xf>
    <xf numFmtId="44" fontId="0" fillId="0" borderId="18" xfId="44" applyFont="1" applyFill="1" applyBorder="1" applyAlignment="1">
      <alignment horizontal="center"/>
    </xf>
    <xf numFmtId="44" fontId="0" fillId="0" borderId="0" xfId="44" applyFont="1" applyFill="1" applyBorder="1" applyAlignment="1">
      <alignment horizontal="center"/>
    </xf>
    <xf numFmtId="44" fontId="0" fillId="0" borderId="18" xfId="44" applyFont="1" applyFill="1" applyBorder="1" applyAlignment="1">
      <alignment/>
    </xf>
    <xf numFmtId="44" fontId="0" fillId="0" borderId="0" xfId="44" applyFont="1" applyFill="1" applyAlignment="1">
      <alignment/>
    </xf>
    <xf numFmtId="0" fontId="1" fillId="0" borderId="0"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ill="1" applyBorder="1" applyAlignment="1">
      <alignment horizontal="center"/>
    </xf>
    <xf numFmtId="44" fontId="0" fillId="0" borderId="12" xfId="44" applyFont="1" applyFill="1" applyBorder="1" applyAlignment="1">
      <alignment horizontal="center"/>
    </xf>
    <xf numFmtId="165" fontId="0" fillId="0" borderId="0" xfId="44" applyNumberFormat="1" applyFont="1" applyFill="1" applyBorder="1" applyAlignment="1">
      <alignment/>
    </xf>
    <xf numFmtId="44" fontId="0" fillId="0" borderId="16" xfId="44" applyFont="1" applyFill="1" applyBorder="1" applyAlignment="1">
      <alignment horizontal="center"/>
    </xf>
    <xf numFmtId="44" fontId="0" fillId="0" borderId="16" xfId="44" applyFont="1" applyFill="1" applyBorder="1" applyAlignment="1">
      <alignment/>
    </xf>
    <xf numFmtId="16" fontId="1" fillId="0" borderId="0" xfId="0" applyNumberFormat="1" applyFont="1" applyBorder="1" applyAlignment="1" quotePrefix="1">
      <alignment horizontal="center"/>
    </xf>
    <xf numFmtId="0" fontId="1" fillId="0" borderId="0" xfId="0" applyNumberFormat="1" applyFont="1" applyBorder="1" applyAlignment="1" quotePrefix="1">
      <alignment horizontal="center"/>
    </xf>
    <xf numFmtId="0" fontId="1" fillId="0" borderId="0" xfId="0" applyFont="1" applyBorder="1" applyAlignment="1" quotePrefix="1">
      <alignment horizontal="center"/>
    </xf>
    <xf numFmtId="49" fontId="1" fillId="0" borderId="0" xfId="0" applyNumberFormat="1" applyFont="1" applyBorder="1" applyAlignment="1" quotePrefix="1">
      <alignment horizontal="center"/>
    </xf>
    <xf numFmtId="44" fontId="1" fillId="0" borderId="0" xfId="44" applyFont="1" applyAlignment="1">
      <alignment horizontal="center"/>
    </xf>
    <xf numFmtId="49" fontId="0" fillId="0" borderId="0" xfId="42" applyNumberFormat="1" applyFont="1" applyBorder="1" applyAlignment="1">
      <alignment horizontal="center"/>
    </xf>
    <xf numFmtId="0" fontId="0" fillId="0" borderId="18" xfId="0" applyFill="1" applyBorder="1" applyAlignment="1">
      <alignment/>
    </xf>
    <xf numFmtId="44" fontId="0" fillId="0" borderId="18" xfId="44" applyFont="1" applyBorder="1" applyAlignment="1">
      <alignment horizontal="centerContinuous"/>
    </xf>
    <xf numFmtId="44" fontId="0" fillId="0" borderId="18" xfId="0" applyNumberFormat="1" applyBorder="1" applyAlignment="1">
      <alignment horizontal="centerContinuous"/>
    </xf>
    <xf numFmtId="0" fontId="9" fillId="43" borderId="37" xfId="0" applyFont="1" applyFill="1" applyBorder="1" applyAlignment="1">
      <alignment horizontal="center"/>
    </xf>
    <xf numFmtId="44" fontId="0" fillId="43" borderId="37" xfId="44" applyFont="1" applyFill="1" applyBorder="1" applyAlignment="1">
      <alignment/>
    </xf>
    <xf numFmtId="44" fontId="0" fillId="43" borderId="34" xfId="44" applyFont="1" applyFill="1" applyBorder="1" applyAlignment="1">
      <alignment/>
    </xf>
    <xf numFmtId="0" fontId="1" fillId="43" borderId="10" xfId="0" applyFont="1" applyFill="1" applyBorder="1" applyAlignment="1">
      <alignment horizontal="center"/>
    </xf>
    <xf numFmtId="44" fontId="1" fillId="43" borderId="10" xfId="0" applyNumberFormat="1" applyFont="1" applyFill="1" applyBorder="1" applyAlignment="1">
      <alignment/>
    </xf>
    <xf numFmtId="44" fontId="1" fillId="36" borderId="40" xfId="44" applyFont="1" applyFill="1" applyBorder="1" applyAlignment="1">
      <alignment/>
    </xf>
    <xf numFmtId="44" fontId="0" fillId="36" borderId="40" xfId="44" applyFill="1" applyBorder="1" applyAlignment="1">
      <alignment/>
    </xf>
    <xf numFmtId="0" fontId="1" fillId="44" borderId="37" xfId="0" applyFont="1" applyFill="1" applyBorder="1" applyAlignment="1">
      <alignment horizontal="center"/>
    </xf>
    <xf numFmtId="44" fontId="1" fillId="44" borderId="35" xfId="44" applyFont="1" applyFill="1" applyBorder="1" applyAlignment="1">
      <alignment/>
    </xf>
    <xf numFmtId="0" fontId="9" fillId="44" borderId="36" xfId="0" applyFont="1" applyFill="1" applyBorder="1" applyAlignment="1">
      <alignment horizontal="center"/>
    </xf>
    <xf numFmtId="44" fontId="0" fillId="44" borderId="36" xfId="44" applyFont="1" applyFill="1" applyBorder="1" applyAlignment="1">
      <alignment/>
    </xf>
    <xf numFmtId="44" fontId="0" fillId="44" borderId="37" xfId="44" applyFont="1" applyFill="1" applyBorder="1" applyAlignment="1">
      <alignment/>
    </xf>
    <xf numFmtId="44" fontId="0" fillId="0" borderId="15" xfId="42" applyNumberFormat="1" applyFont="1" applyBorder="1" applyAlignment="1">
      <alignment horizontal="center"/>
    </xf>
    <xf numFmtId="44" fontId="0" fillId="0" borderId="0" xfId="0" applyNumberFormat="1" applyFill="1" applyBorder="1" applyAlignment="1">
      <alignment/>
    </xf>
    <xf numFmtId="44" fontId="0" fillId="0" borderId="0" xfId="44" applyNumberFormat="1" applyFont="1" applyFill="1" applyBorder="1" applyAlignment="1" quotePrefix="1">
      <alignment horizontal="left"/>
    </xf>
    <xf numFmtId="44" fontId="0" fillId="0" borderId="0" xfId="44" applyNumberFormat="1" applyFont="1" applyFill="1" applyBorder="1" applyAlignment="1">
      <alignment horizontal="left"/>
    </xf>
    <xf numFmtId="44" fontId="0" fillId="0" borderId="0" xfId="44" applyNumberFormat="1" applyFont="1" applyFill="1" applyBorder="1" applyAlignment="1">
      <alignment horizontal="centerContinuous"/>
    </xf>
    <xf numFmtId="44" fontId="0" fillId="0" borderId="0" xfId="44" applyNumberFormat="1" applyFont="1" applyFill="1" applyBorder="1" applyAlignment="1" quotePrefix="1">
      <alignment/>
    </xf>
    <xf numFmtId="44" fontId="0" fillId="0" borderId="0" xfId="44" applyNumberFormat="1" applyFont="1" applyFill="1" applyBorder="1" applyAlignment="1">
      <alignment/>
    </xf>
    <xf numFmtId="0" fontId="1" fillId="0" borderId="17" xfId="44" applyNumberFormat="1" applyFont="1" applyBorder="1" applyAlignment="1" quotePrefix="1">
      <alignment horizontal="center"/>
    </xf>
    <xf numFmtId="0" fontId="8" fillId="0" borderId="15" xfId="44" applyNumberFormat="1" applyFont="1" applyBorder="1" applyAlignment="1" quotePrefix="1">
      <alignment horizontal="center"/>
    </xf>
    <xf numFmtId="44" fontId="0" fillId="0" borderId="14" xfId="44" applyNumberFormat="1" applyFont="1" applyBorder="1" applyAlignment="1">
      <alignment/>
    </xf>
    <xf numFmtId="44" fontId="0" fillId="0" borderId="17" xfId="44" applyNumberFormat="1" applyFont="1" applyBorder="1" applyAlignment="1">
      <alignment/>
    </xf>
    <xf numFmtId="6" fontId="0" fillId="0" borderId="0" xfId="44" applyNumberFormat="1" applyFont="1" applyBorder="1" applyAlignment="1">
      <alignment/>
    </xf>
    <xf numFmtId="8" fontId="0" fillId="0" borderId="0" xfId="0" applyNumberFormat="1" applyBorder="1" applyAlignment="1">
      <alignment horizontal="center"/>
    </xf>
    <xf numFmtId="6" fontId="0" fillId="0" borderId="0" xfId="0" applyNumberFormat="1" applyBorder="1" applyAlignment="1">
      <alignment horizontal="center"/>
    </xf>
    <xf numFmtId="6" fontId="0" fillId="0" borderId="0" xfId="44" applyNumberFormat="1" applyBorder="1" applyAlignment="1">
      <alignment/>
    </xf>
    <xf numFmtId="8" fontId="0" fillId="0" borderId="0" xfId="0" applyNumberFormat="1" applyAlignment="1">
      <alignment/>
    </xf>
    <xf numFmtId="6" fontId="0" fillId="0" borderId="0" xfId="44" applyNumberFormat="1" applyFont="1" applyBorder="1" applyAlignment="1">
      <alignment horizontal="left"/>
    </xf>
    <xf numFmtId="6"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23</xdr:row>
      <xdr:rowOff>85725</xdr:rowOff>
    </xdr:from>
    <xdr:to>
      <xdr:col>1</xdr:col>
      <xdr:colOff>742950</xdr:colOff>
      <xdr:row>25</xdr:row>
      <xdr:rowOff>0</xdr:rowOff>
    </xdr:to>
    <xdr:sp>
      <xdr:nvSpPr>
        <xdr:cNvPr id="1" name="Text 33"/>
        <xdr:cNvSpPr txBox="1">
          <a:spLocks noChangeArrowheads="1"/>
        </xdr:cNvSpPr>
      </xdr:nvSpPr>
      <xdr:spPr>
        <a:xfrm>
          <a:off x="876300" y="4162425"/>
          <a:ext cx="685800" cy="25717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Geneva"/>
              <a:ea typeface="Geneva"/>
              <a:cs typeface="Geneva"/>
            </a:rPr>
            <a:t>02/03</a:t>
          </a:r>
        </a:p>
      </xdr:txBody>
    </xdr:sp>
    <xdr:clientData/>
  </xdr:twoCellAnchor>
  <xdr:twoCellAnchor>
    <xdr:from>
      <xdr:col>0</xdr:col>
      <xdr:colOff>809625</xdr:colOff>
      <xdr:row>2</xdr:row>
      <xdr:rowOff>142875</xdr:rowOff>
    </xdr:from>
    <xdr:to>
      <xdr:col>7</xdr:col>
      <xdr:colOff>85725</xdr:colOff>
      <xdr:row>14</xdr:row>
      <xdr:rowOff>123825</xdr:rowOff>
    </xdr:to>
    <xdr:sp>
      <xdr:nvSpPr>
        <xdr:cNvPr id="2" name="Text 1"/>
        <xdr:cNvSpPr txBox="1">
          <a:spLocks noChangeArrowheads="1"/>
        </xdr:cNvSpPr>
      </xdr:nvSpPr>
      <xdr:spPr>
        <a:xfrm>
          <a:off x="809625" y="485775"/>
          <a:ext cx="5010150" cy="20383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2400" b="1" i="0" u="none" baseline="0">
              <a:solidFill>
                <a:srgbClr val="000000"/>
              </a:solidFill>
              <a:latin typeface="Helv"/>
              <a:ea typeface="Helv"/>
              <a:cs typeface="Helv"/>
            </a:rPr>
            <a:t>A Revealing Breakdown of Our    
</a:t>
          </a:r>
          <a:r>
            <a:rPr lang="en-US" cap="none" sz="2400" b="1" i="0" u="none" baseline="0">
              <a:solidFill>
                <a:srgbClr val="000000"/>
              </a:solidFill>
              <a:latin typeface="Helv"/>
              <a:ea typeface="Helv"/>
              <a:cs typeface="Helv"/>
            </a:rPr>
            <a:t>  Congregation's Giving Patterns</a:t>
          </a:r>
          <a:r>
            <a:rPr lang="en-US" cap="none" sz="1800" b="1" i="0" u="none" baseline="0">
              <a:solidFill>
                <a:srgbClr val="000000"/>
              </a:solidFill>
              <a:latin typeface="Helv"/>
              <a:ea typeface="Helv"/>
              <a:cs typeface="Helv"/>
            </a:rPr>
            <a:t>
</a:t>
          </a:r>
          <a:r>
            <a:rPr lang="en-US" cap="none" sz="1800" b="1" i="0" u="none" baseline="0">
              <a:solidFill>
                <a:srgbClr val="000000"/>
              </a:solidFill>
              <a:latin typeface="Helv"/>
              <a:ea typeface="Helv"/>
              <a:cs typeface="Helv"/>
            </a:rPr>
            <a:t>
</a:t>
          </a:r>
          <a:r>
            <a:rPr lang="en-US" cap="none" sz="2400" b="1" i="0" u="none" baseline="0">
              <a:solidFill>
                <a:srgbClr val="000000"/>
              </a:solidFill>
              <a:latin typeface="Helv"/>
              <a:ea typeface="Helv"/>
              <a:cs typeface="Helv"/>
            </a:rPr>
            <a:t>  Based on your weekly offerings
</a:t>
          </a:r>
          <a:r>
            <a:rPr lang="en-US" cap="none" sz="2400" b="1" i="0" u="none" baseline="0">
              <a:solidFill>
                <a:srgbClr val="000000"/>
              </a:solidFill>
              <a:latin typeface="Helv"/>
              <a:ea typeface="Helv"/>
              <a:cs typeface="Helv"/>
            </a:rPr>
            <a:t>  where do you land on this chart?</a:t>
          </a:r>
          <a:r>
            <a:rPr lang="en-US" cap="none" sz="1800" b="1" i="0" u="none" baseline="0">
              <a:solidFill>
                <a:srgbClr val="000000"/>
              </a:solidFill>
              <a:latin typeface="Helv"/>
              <a:ea typeface="Helv"/>
              <a:cs typeface="Helv"/>
            </a:rPr>
            <a:t>
</a:t>
          </a:r>
        </a:p>
      </xdr:txBody>
    </xdr:sp>
    <xdr:clientData/>
  </xdr:twoCellAnchor>
  <xdr:twoCellAnchor>
    <xdr:from>
      <xdr:col>0</xdr:col>
      <xdr:colOff>371475</xdr:colOff>
      <xdr:row>46</xdr:row>
      <xdr:rowOff>76200</xdr:rowOff>
    </xdr:from>
    <xdr:to>
      <xdr:col>0</xdr:col>
      <xdr:colOff>371475</xdr:colOff>
      <xdr:row>50</xdr:row>
      <xdr:rowOff>161925</xdr:rowOff>
    </xdr:to>
    <xdr:sp>
      <xdr:nvSpPr>
        <xdr:cNvPr id="3" name="Line 3"/>
        <xdr:cNvSpPr>
          <a:spLocks/>
        </xdr:cNvSpPr>
      </xdr:nvSpPr>
      <xdr:spPr>
        <a:xfrm>
          <a:off x="371475" y="811530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381000</xdr:colOff>
      <xdr:row>40</xdr:row>
      <xdr:rowOff>76200</xdr:rowOff>
    </xdr:from>
    <xdr:to>
      <xdr:col>2</xdr:col>
      <xdr:colOff>381000</xdr:colOff>
      <xdr:row>44</xdr:row>
      <xdr:rowOff>161925</xdr:rowOff>
    </xdr:to>
    <xdr:sp>
      <xdr:nvSpPr>
        <xdr:cNvPr id="4" name="Line 4"/>
        <xdr:cNvSpPr>
          <a:spLocks/>
        </xdr:cNvSpPr>
      </xdr:nvSpPr>
      <xdr:spPr>
        <a:xfrm>
          <a:off x="2019300" y="708660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381000</xdr:colOff>
      <xdr:row>43</xdr:row>
      <xdr:rowOff>76200</xdr:rowOff>
    </xdr:from>
    <xdr:to>
      <xdr:col>1</xdr:col>
      <xdr:colOff>381000</xdr:colOff>
      <xdr:row>47</xdr:row>
      <xdr:rowOff>161925</xdr:rowOff>
    </xdr:to>
    <xdr:sp>
      <xdr:nvSpPr>
        <xdr:cNvPr id="5" name="Line 5"/>
        <xdr:cNvSpPr>
          <a:spLocks/>
        </xdr:cNvSpPr>
      </xdr:nvSpPr>
      <xdr:spPr>
        <a:xfrm>
          <a:off x="1200150" y="760095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371475</xdr:colOff>
      <xdr:row>37</xdr:row>
      <xdr:rowOff>85725</xdr:rowOff>
    </xdr:from>
    <xdr:to>
      <xdr:col>3</xdr:col>
      <xdr:colOff>371475</xdr:colOff>
      <xdr:row>42</xdr:row>
      <xdr:rowOff>0</xdr:rowOff>
    </xdr:to>
    <xdr:sp>
      <xdr:nvSpPr>
        <xdr:cNvPr id="6" name="Line 6"/>
        <xdr:cNvSpPr>
          <a:spLocks/>
        </xdr:cNvSpPr>
      </xdr:nvSpPr>
      <xdr:spPr>
        <a:xfrm>
          <a:off x="2828925" y="658177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371475</xdr:colOff>
      <xdr:row>31</xdr:row>
      <xdr:rowOff>85725</xdr:rowOff>
    </xdr:from>
    <xdr:to>
      <xdr:col>5</xdr:col>
      <xdr:colOff>371475</xdr:colOff>
      <xdr:row>36</xdr:row>
      <xdr:rowOff>0</xdr:rowOff>
    </xdr:to>
    <xdr:sp>
      <xdr:nvSpPr>
        <xdr:cNvPr id="7" name="Line 7"/>
        <xdr:cNvSpPr>
          <a:spLocks/>
        </xdr:cNvSpPr>
      </xdr:nvSpPr>
      <xdr:spPr>
        <a:xfrm>
          <a:off x="4467225" y="555307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371475</xdr:colOff>
      <xdr:row>34</xdr:row>
      <xdr:rowOff>76200</xdr:rowOff>
    </xdr:from>
    <xdr:to>
      <xdr:col>4</xdr:col>
      <xdr:colOff>371475</xdr:colOff>
      <xdr:row>38</xdr:row>
      <xdr:rowOff>161925</xdr:rowOff>
    </xdr:to>
    <xdr:sp>
      <xdr:nvSpPr>
        <xdr:cNvPr id="8" name="Line 8"/>
        <xdr:cNvSpPr>
          <a:spLocks/>
        </xdr:cNvSpPr>
      </xdr:nvSpPr>
      <xdr:spPr>
        <a:xfrm>
          <a:off x="3648075" y="605790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371475</xdr:colOff>
      <xdr:row>28</xdr:row>
      <xdr:rowOff>76200</xdr:rowOff>
    </xdr:from>
    <xdr:to>
      <xdr:col>6</xdr:col>
      <xdr:colOff>371475</xdr:colOff>
      <xdr:row>32</xdr:row>
      <xdr:rowOff>161925</xdr:rowOff>
    </xdr:to>
    <xdr:sp>
      <xdr:nvSpPr>
        <xdr:cNvPr id="9" name="Line 9"/>
        <xdr:cNvSpPr>
          <a:spLocks/>
        </xdr:cNvSpPr>
      </xdr:nvSpPr>
      <xdr:spPr>
        <a:xfrm>
          <a:off x="5286375" y="502920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381000</xdr:colOff>
      <xdr:row>25</xdr:row>
      <xdr:rowOff>66675</xdr:rowOff>
    </xdr:from>
    <xdr:to>
      <xdr:col>7</xdr:col>
      <xdr:colOff>381000</xdr:colOff>
      <xdr:row>29</xdr:row>
      <xdr:rowOff>161925</xdr:rowOff>
    </xdr:to>
    <xdr:sp>
      <xdr:nvSpPr>
        <xdr:cNvPr id="10" name="Line 10"/>
        <xdr:cNvSpPr>
          <a:spLocks/>
        </xdr:cNvSpPr>
      </xdr:nvSpPr>
      <xdr:spPr>
        <a:xfrm>
          <a:off x="6115050" y="448627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361950</xdr:colOff>
      <xdr:row>22</xdr:row>
      <xdr:rowOff>85725</xdr:rowOff>
    </xdr:from>
    <xdr:to>
      <xdr:col>8</xdr:col>
      <xdr:colOff>361950</xdr:colOff>
      <xdr:row>27</xdr:row>
      <xdr:rowOff>0</xdr:rowOff>
    </xdr:to>
    <xdr:sp>
      <xdr:nvSpPr>
        <xdr:cNvPr id="11" name="Line 11"/>
        <xdr:cNvSpPr>
          <a:spLocks/>
        </xdr:cNvSpPr>
      </xdr:nvSpPr>
      <xdr:spPr>
        <a:xfrm>
          <a:off x="6915150" y="3990975"/>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371475</xdr:colOff>
      <xdr:row>19</xdr:row>
      <xdr:rowOff>57150</xdr:rowOff>
    </xdr:from>
    <xdr:to>
      <xdr:col>9</xdr:col>
      <xdr:colOff>371475</xdr:colOff>
      <xdr:row>23</xdr:row>
      <xdr:rowOff>161925</xdr:rowOff>
    </xdr:to>
    <xdr:sp>
      <xdr:nvSpPr>
        <xdr:cNvPr id="12" name="Line 12"/>
        <xdr:cNvSpPr>
          <a:spLocks/>
        </xdr:cNvSpPr>
      </xdr:nvSpPr>
      <xdr:spPr>
        <a:xfrm>
          <a:off x="7743825" y="3352800"/>
          <a:ext cx="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390525</xdr:colOff>
      <xdr:row>16</xdr:row>
      <xdr:rowOff>76200</xdr:rowOff>
    </xdr:from>
    <xdr:to>
      <xdr:col>10</xdr:col>
      <xdr:colOff>390525</xdr:colOff>
      <xdr:row>20</xdr:row>
      <xdr:rowOff>161925</xdr:rowOff>
    </xdr:to>
    <xdr:sp>
      <xdr:nvSpPr>
        <xdr:cNvPr id="13" name="Line 13"/>
        <xdr:cNvSpPr>
          <a:spLocks/>
        </xdr:cNvSpPr>
      </xdr:nvSpPr>
      <xdr:spPr>
        <a:xfrm>
          <a:off x="8582025" y="2819400"/>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371475</xdr:colOff>
      <xdr:row>13</xdr:row>
      <xdr:rowOff>85725</xdr:rowOff>
    </xdr:from>
    <xdr:to>
      <xdr:col>11</xdr:col>
      <xdr:colOff>371475</xdr:colOff>
      <xdr:row>18</xdr:row>
      <xdr:rowOff>0</xdr:rowOff>
    </xdr:to>
    <xdr:sp>
      <xdr:nvSpPr>
        <xdr:cNvPr id="14" name="Line 14"/>
        <xdr:cNvSpPr>
          <a:spLocks/>
        </xdr:cNvSpPr>
      </xdr:nvSpPr>
      <xdr:spPr>
        <a:xfrm>
          <a:off x="9382125" y="231457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381000</xdr:colOff>
      <xdr:row>10</xdr:row>
      <xdr:rowOff>85725</xdr:rowOff>
    </xdr:from>
    <xdr:to>
      <xdr:col>12</xdr:col>
      <xdr:colOff>381000</xdr:colOff>
      <xdr:row>15</xdr:row>
      <xdr:rowOff>0</xdr:rowOff>
    </xdr:to>
    <xdr:sp>
      <xdr:nvSpPr>
        <xdr:cNvPr id="15" name="Line 15"/>
        <xdr:cNvSpPr>
          <a:spLocks/>
        </xdr:cNvSpPr>
      </xdr:nvSpPr>
      <xdr:spPr>
        <a:xfrm>
          <a:off x="10210800" y="180022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371475</xdr:colOff>
      <xdr:row>7</xdr:row>
      <xdr:rowOff>76200</xdr:rowOff>
    </xdr:from>
    <xdr:to>
      <xdr:col>13</xdr:col>
      <xdr:colOff>371475</xdr:colOff>
      <xdr:row>11</xdr:row>
      <xdr:rowOff>161925</xdr:rowOff>
    </xdr:to>
    <xdr:sp>
      <xdr:nvSpPr>
        <xdr:cNvPr id="16" name="Line 16"/>
        <xdr:cNvSpPr>
          <a:spLocks/>
        </xdr:cNvSpPr>
      </xdr:nvSpPr>
      <xdr:spPr>
        <a:xfrm>
          <a:off x="11020425" y="1276350"/>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381000</xdr:colOff>
      <xdr:row>4</xdr:row>
      <xdr:rowOff>85725</xdr:rowOff>
    </xdr:from>
    <xdr:to>
      <xdr:col>14</xdr:col>
      <xdr:colOff>381000</xdr:colOff>
      <xdr:row>8</xdr:row>
      <xdr:rowOff>142875</xdr:rowOff>
    </xdr:to>
    <xdr:sp>
      <xdr:nvSpPr>
        <xdr:cNvPr id="17" name="Line 17"/>
        <xdr:cNvSpPr>
          <a:spLocks/>
        </xdr:cNvSpPr>
      </xdr:nvSpPr>
      <xdr:spPr>
        <a:xfrm>
          <a:off x="11849100" y="771525"/>
          <a:ext cx="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123825</xdr:colOff>
      <xdr:row>4</xdr:row>
      <xdr:rowOff>38100</xdr:rowOff>
    </xdr:from>
    <xdr:to>
      <xdr:col>13</xdr:col>
      <xdr:colOff>638175</xdr:colOff>
      <xdr:row>7</xdr:row>
      <xdr:rowOff>9525</xdr:rowOff>
    </xdr:to>
    <xdr:sp>
      <xdr:nvSpPr>
        <xdr:cNvPr id="18" name="Rectangle 18"/>
        <xdr:cNvSpPr>
          <a:spLocks/>
        </xdr:cNvSpPr>
      </xdr:nvSpPr>
      <xdr:spPr>
        <a:xfrm>
          <a:off x="10772775" y="723900"/>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133350</xdr:colOff>
      <xdr:row>1</xdr:row>
      <xdr:rowOff>38100</xdr:rowOff>
    </xdr:from>
    <xdr:to>
      <xdr:col>14</xdr:col>
      <xdr:colOff>647700</xdr:colOff>
      <xdr:row>4</xdr:row>
      <xdr:rowOff>9525</xdr:rowOff>
    </xdr:to>
    <xdr:sp>
      <xdr:nvSpPr>
        <xdr:cNvPr id="19" name="Rectangle 19"/>
        <xdr:cNvSpPr>
          <a:spLocks/>
        </xdr:cNvSpPr>
      </xdr:nvSpPr>
      <xdr:spPr>
        <a:xfrm>
          <a:off x="11601450" y="209550"/>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152400</xdr:colOff>
      <xdr:row>7</xdr:row>
      <xdr:rowOff>28575</xdr:rowOff>
    </xdr:from>
    <xdr:to>
      <xdr:col>12</xdr:col>
      <xdr:colOff>666750</xdr:colOff>
      <xdr:row>10</xdr:row>
      <xdr:rowOff>0</xdr:rowOff>
    </xdr:to>
    <xdr:sp>
      <xdr:nvSpPr>
        <xdr:cNvPr id="20" name="Rectangle 20"/>
        <xdr:cNvSpPr>
          <a:spLocks/>
        </xdr:cNvSpPr>
      </xdr:nvSpPr>
      <xdr:spPr>
        <a:xfrm>
          <a:off x="9982200" y="1228725"/>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152400</xdr:colOff>
      <xdr:row>10</xdr:row>
      <xdr:rowOff>28575</xdr:rowOff>
    </xdr:from>
    <xdr:to>
      <xdr:col>11</xdr:col>
      <xdr:colOff>666750</xdr:colOff>
      <xdr:row>13</xdr:row>
      <xdr:rowOff>0</xdr:rowOff>
    </xdr:to>
    <xdr:sp>
      <xdr:nvSpPr>
        <xdr:cNvPr id="21" name="Rectangle 21"/>
        <xdr:cNvSpPr>
          <a:spLocks/>
        </xdr:cNvSpPr>
      </xdr:nvSpPr>
      <xdr:spPr>
        <a:xfrm>
          <a:off x="9163050" y="1743075"/>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10</xdr:col>
      <xdr:colOff>152400</xdr:colOff>
      <xdr:row>13</xdr:row>
      <xdr:rowOff>9525</xdr:rowOff>
    </xdr:from>
    <xdr:to>
      <xdr:col>10</xdr:col>
      <xdr:colOff>666750</xdr:colOff>
      <xdr:row>15</xdr:row>
      <xdr:rowOff>161925</xdr:rowOff>
    </xdr:to>
    <xdr:sp>
      <xdr:nvSpPr>
        <xdr:cNvPr id="22" name="Rectangle 22"/>
        <xdr:cNvSpPr>
          <a:spLocks/>
        </xdr:cNvSpPr>
      </xdr:nvSpPr>
      <xdr:spPr>
        <a:xfrm>
          <a:off x="8343900" y="2238375"/>
          <a:ext cx="51435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133350</xdr:colOff>
      <xdr:row>16</xdr:row>
      <xdr:rowOff>9525</xdr:rowOff>
    </xdr:from>
    <xdr:to>
      <xdr:col>9</xdr:col>
      <xdr:colOff>647700</xdr:colOff>
      <xdr:row>18</xdr:row>
      <xdr:rowOff>161925</xdr:rowOff>
    </xdr:to>
    <xdr:sp>
      <xdr:nvSpPr>
        <xdr:cNvPr id="23" name="Rectangle 23"/>
        <xdr:cNvSpPr>
          <a:spLocks/>
        </xdr:cNvSpPr>
      </xdr:nvSpPr>
      <xdr:spPr>
        <a:xfrm>
          <a:off x="7505700" y="2752725"/>
          <a:ext cx="51435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133350</xdr:colOff>
      <xdr:row>19</xdr:row>
      <xdr:rowOff>38100</xdr:rowOff>
    </xdr:from>
    <xdr:to>
      <xdr:col>8</xdr:col>
      <xdr:colOff>647700</xdr:colOff>
      <xdr:row>22</xdr:row>
      <xdr:rowOff>9525</xdr:rowOff>
    </xdr:to>
    <xdr:sp>
      <xdr:nvSpPr>
        <xdr:cNvPr id="24" name="Rectangle 24"/>
        <xdr:cNvSpPr>
          <a:spLocks/>
        </xdr:cNvSpPr>
      </xdr:nvSpPr>
      <xdr:spPr>
        <a:xfrm>
          <a:off x="6686550" y="3333750"/>
          <a:ext cx="514350" cy="581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152400</xdr:colOff>
      <xdr:row>22</xdr:row>
      <xdr:rowOff>28575</xdr:rowOff>
    </xdr:from>
    <xdr:to>
      <xdr:col>7</xdr:col>
      <xdr:colOff>666750</xdr:colOff>
      <xdr:row>25</xdr:row>
      <xdr:rowOff>0</xdr:rowOff>
    </xdr:to>
    <xdr:sp>
      <xdr:nvSpPr>
        <xdr:cNvPr id="25" name="Rectangle 25"/>
        <xdr:cNvSpPr>
          <a:spLocks/>
        </xdr:cNvSpPr>
      </xdr:nvSpPr>
      <xdr:spPr>
        <a:xfrm>
          <a:off x="5886450" y="3933825"/>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25</xdr:row>
      <xdr:rowOff>38100</xdr:rowOff>
    </xdr:from>
    <xdr:to>
      <xdr:col>6</xdr:col>
      <xdr:colOff>647700</xdr:colOff>
      <xdr:row>28</xdr:row>
      <xdr:rowOff>9525</xdr:rowOff>
    </xdr:to>
    <xdr:sp>
      <xdr:nvSpPr>
        <xdr:cNvPr id="26" name="Rectangle 26"/>
        <xdr:cNvSpPr>
          <a:spLocks/>
        </xdr:cNvSpPr>
      </xdr:nvSpPr>
      <xdr:spPr>
        <a:xfrm>
          <a:off x="5048250" y="4457700"/>
          <a:ext cx="514350" cy="504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133350</xdr:colOff>
      <xdr:row>28</xdr:row>
      <xdr:rowOff>28575</xdr:rowOff>
    </xdr:from>
    <xdr:to>
      <xdr:col>5</xdr:col>
      <xdr:colOff>647700</xdr:colOff>
      <xdr:row>31</xdr:row>
      <xdr:rowOff>0</xdr:rowOff>
    </xdr:to>
    <xdr:sp>
      <xdr:nvSpPr>
        <xdr:cNvPr id="27" name="Rectangle 27"/>
        <xdr:cNvSpPr>
          <a:spLocks/>
        </xdr:cNvSpPr>
      </xdr:nvSpPr>
      <xdr:spPr>
        <a:xfrm>
          <a:off x="4229100" y="4981575"/>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133350</xdr:colOff>
      <xdr:row>31</xdr:row>
      <xdr:rowOff>28575</xdr:rowOff>
    </xdr:from>
    <xdr:to>
      <xdr:col>4</xdr:col>
      <xdr:colOff>647700</xdr:colOff>
      <xdr:row>34</xdr:row>
      <xdr:rowOff>0</xdr:rowOff>
    </xdr:to>
    <xdr:sp>
      <xdr:nvSpPr>
        <xdr:cNvPr id="28" name="Rectangle 28"/>
        <xdr:cNvSpPr>
          <a:spLocks/>
        </xdr:cNvSpPr>
      </xdr:nvSpPr>
      <xdr:spPr>
        <a:xfrm>
          <a:off x="3409950" y="5495925"/>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133350</xdr:colOff>
      <xdr:row>34</xdr:row>
      <xdr:rowOff>38100</xdr:rowOff>
    </xdr:from>
    <xdr:to>
      <xdr:col>3</xdr:col>
      <xdr:colOff>647700</xdr:colOff>
      <xdr:row>37</xdr:row>
      <xdr:rowOff>9525</xdr:rowOff>
    </xdr:to>
    <xdr:sp>
      <xdr:nvSpPr>
        <xdr:cNvPr id="29" name="Rectangle 29"/>
        <xdr:cNvSpPr>
          <a:spLocks/>
        </xdr:cNvSpPr>
      </xdr:nvSpPr>
      <xdr:spPr>
        <a:xfrm>
          <a:off x="2590800" y="6019800"/>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133350</xdr:colOff>
      <xdr:row>37</xdr:row>
      <xdr:rowOff>9525</xdr:rowOff>
    </xdr:from>
    <xdr:to>
      <xdr:col>2</xdr:col>
      <xdr:colOff>647700</xdr:colOff>
      <xdr:row>39</xdr:row>
      <xdr:rowOff>161925</xdr:rowOff>
    </xdr:to>
    <xdr:sp>
      <xdr:nvSpPr>
        <xdr:cNvPr id="30" name="Rectangle 30"/>
        <xdr:cNvSpPr>
          <a:spLocks/>
        </xdr:cNvSpPr>
      </xdr:nvSpPr>
      <xdr:spPr>
        <a:xfrm>
          <a:off x="1771650" y="6505575"/>
          <a:ext cx="51435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152400</xdr:colOff>
      <xdr:row>40</xdr:row>
      <xdr:rowOff>38100</xdr:rowOff>
    </xdr:from>
    <xdr:to>
      <xdr:col>1</xdr:col>
      <xdr:colOff>666750</xdr:colOff>
      <xdr:row>43</xdr:row>
      <xdr:rowOff>9525</xdr:rowOff>
    </xdr:to>
    <xdr:sp>
      <xdr:nvSpPr>
        <xdr:cNvPr id="31" name="Rectangle 31"/>
        <xdr:cNvSpPr>
          <a:spLocks/>
        </xdr:cNvSpPr>
      </xdr:nvSpPr>
      <xdr:spPr>
        <a:xfrm>
          <a:off x="971550" y="7048500"/>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142875</xdr:colOff>
      <xdr:row>43</xdr:row>
      <xdr:rowOff>28575</xdr:rowOff>
    </xdr:from>
    <xdr:to>
      <xdr:col>0</xdr:col>
      <xdr:colOff>657225</xdr:colOff>
      <xdr:row>46</xdr:row>
      <xdr:rowOff>0</xdr:rowOff>
    </xdr:to>
    <xdr:sp>
      <xdr:nvSpPr>
        <xdr:cNvPr id="32" name="Rectangle 32"/>
        <xdr:cNvSpPr>
          <a:spLocks/>
        </xdr:cNvSpPr>
      </xdr:nvSpPr>
      <xdr:spPr>
        <a:xfrm>
          <a:off x="142875" y="7553325"/>
          <a:ext cx="5143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47625</xdr:colOff>
      <xdr:row>21</xdr:row>
      <xdr:rowOff>47625</xdr:rowOff>
    </xdr:from>
    <xdr:to>
      <xdr:col>2</xdr:col>
      <xdr:colOff>504825</xdr:colOff>
      <xdr:row>24</xdr:row>
      <xdr:rowOff>9525</xdr:rowOff>
    </xdr:to>
    <xdr:sp>
      <xdr:nvSpPr>
        <xdr:cNvPr id="33" name="Line 37"/>
        <xdr:cNvSpPr>
          <a:spLocks/>
        </xdr:cNvSpPr>
      </xdr:nvSpPr>
      <xdr:spPr>
        <a:xfrm flipH="1">
          <a:off x="1685925" y="3762375"/>
          <a:ext cx="45720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609600</xdr:colOff>
      <xdr:row>26</xdr:row>
      <xdr:rowOff>95250</xdr:rowOff>
    </xdr:from>
    <xdr:to>
      <xdr:col>3</xdr:col>
      <xdr:colOff>581025</xdr:colOff>
      <xdr:row>30</xdr:row>
      <xdr:rowOff>123825</xdr:rowOff>
    </xdr:to>
    <xdr:sp>
      <xdr:nvSpPr>
        <xdr:cNvPr id="34" name="Line 38"/>
        <xdr:cNvSpPr>
          <a:spLocks/>
        </xdr:cNvSpPr>
      </xdr:nvSpPr>
      <xdr:spPr>
        <a:xfrm>
          <a:off x="1428750" y="4705350"/>
          <a:ext cx="16097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809625</xdr:colOff>
      <xdr:row>43</xdr:row>
      <xdr:rowOff>9525</xdr:rowOff>
    </xdr:from>
    <xdr:to>
      <xdr:col>12</xdr:col>
      <xdr:colOff>447675</xdr:colOff>
      <xdr:row>48</xdr:row>
      <xdr:rowOff>47625</xdr:rowOff>
    </xdr:to>
    <xdr:sp>
      <xdr:nvSpPr>
        <xdr:cNvPr id="35" name="Text 39"/>
        <xdr:cNvSpPr txBox="1">
          <a:spLocks noChangeArrowheads="1"/>
        </xdr:cNvSpPr>
      </xdr:nvSpPr>
      <xdr:spPr>
        <a:xfrm>
          <a:off x="5724525" y="7534275"/>
          <a:ext cx="4552950" cy="895350"/>
        </a:xfrm>
        <a:prstGeom prst="rect">
          <a:avLst/>
        </a:prstGeom>
        <a:solidFill>
          <a:srgbClr val="FFFFFF"/>
        </a:solidFill>
        <a:ln w="9525" cmpd="sng">
          <a:solidFill>
            <a:srgbClr val="000000"/>
          </a:solidFill>
          <a:headEnd type="none"/>
          <a:tailEnd type="none"/>
        </a:ln>
      </xdr:spPr>
      <xdr:txBody>
        <a:bodyPr vertOverflow="clip" wrap="square" lIns="54864" tIns="41148" rIns="54864" bIns="0"/>
        <a:p>
          <a:pPr algn="ctr">
            <a:defRPr/>
          </a:pPr>
          <a:r>
            <a:rPr lang="en-US" cap="none" sz="2400" b="1" i="0" u="none" baseline="0">
              <a:solidFill>
                <a:srgbClr val="000000"/>
              </a:solidFill>
              <a:latin typeface="Geneva"/>
              <a:ea typeface="Geneva"/>
              <a:cs typeface="Geneva"/>
            </a:rPr>
            <a:t>Did you grow one step with us this year?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12</xdr:row>
      <xdr:rowOff>190500</xdr:rowOff>
    </xdr:from>
    <xdr:to>
      <xdr:col>7</xdr:col>
      <xdr:colOff>66675</xdr:colOff>
      <xdr:row>18</xdr:row>
      <xdr:rowOff>47625</xdr:rowOff>
    </xdr:to>
    <xdr:sp>
      <xdr:nvSpPr>
        <xdr:cNvPr id="1" name="Line 1"/>
        <xdr:cNvSpPr>
          <a:spLocks/>
        </xdr:cNvSpPr>
      </xdr:nvSpPr>
      <xdr:spPr>
        <a:xfrm flipV="1">
          <a:off x="4133850" y="2447925"/>
          <a:ext cx="0" cy="933450"/>
        </a:xfrm>
        <a:prstGeom prst="line">
          <a:avLst/>
        </a:prstGeom>
        <a:noFill/>
        <a:ln w="17145" cmpd="sng">
          <a:solidFill>
            <a:srgbClr val="00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752475</xdr:colOff>
      <xdr:row>18</xdr:row>
      <xdr:rowOff>47625</xdr:rowOff>
    </xdr:from>
    <xdr:to>
      <xdr:col>6</xdr:col>
      <xdr:colOff>419100</xdr:colOff>
      <xdr:row>18</xdr:row>
      <xdr:rowOff>47625</xdr:rowOff>
    </xdr:to>
    <xdr:sp>
      <xdr:nvSpPr>
        <xdr:cNvPr id="2" name="Line 2"/>
        <xdr:cNvSpPr>
          <a:spLocks/>
        </xdr:cNvSpPr>
      </xdr:nvSpPr>
      <xdr:spPr>
        <a:xfrm>
          <a:off x="752475" y="3381375"/>
          <a:ext cx="3295650" cy="0"/>
        </a:xfrm>
        <a:prstGeom prst="line">
          <a:avLst/>
        </a:prstGeom>
        <a:noFill/>
        <a:ln w="17145" cmpd="sng">
          <a:solidFill>
            <a:srgbClr val="00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0</xdr:colOff>
      <xdr:row>28</xdr:row>
      <xdr:rowOff>123825</xdr:rowOff>
    </xdr:from>
    <xdr:to>
      <xdr:col>13</xdr:col>
      <xdr:colOff>0</xdr:colOff>
      <xdr:row>32</xdr:row>
      <xdr:rowOff>142875</xdr:rowOff>
    </xdr:to>
    <xdr:sp>
      <xdr:nvSpPr>
        <xdr:cNvPr id="3" name="Text 3"/>
        <xdr:cNvSpPr txBox="1">
          <a:spLocks noChangeArrowheads="1"/>
        </xdr:cNvSpPr>
      </xdr:nvSpPr>
      <xdr:spPr>
        <a:xfrm>
          <a:off x="819150" y="5229225"/>
          <a:ext cx="5924550" cy="704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Geneva"/>
              <a:ea typeface="Geneva"/>
              <a:cs typeface="Geneva"/>
            </a:rPr>
            <a:t>"Then he said, 'This is what I'll do, I will tear down my barns and build bigger ones, and there I will store all my grain and my goods...  But God said to him, 'You fool!  This very night your life will be demanded from you.  Then who will get what you have prepared for yourself?'  This is how it will be with anyone who stores up things for himself but is not rich toward God."</a:t>
          </a:r>
          <a:r>
            <a:rPr lang="en-US" cap="none" sz="1000" b="0" i="0" u="none" baseline="0">
              <a:solidFill>
                <a:srgbClr val="000000"/>
              </a:solidFill>
              <a:latin typeface="Geneva"/>
              <a:ea typeface="Geneva"/>
              <a:cs typeface="Geneva"/>
            </a:rPr>
            <a:t>  Luke 12:17-21</a:t>
          </a:r>
        </a:p>
      </xdr:txBody>
    </xdr:sp>
    <xdr:clientData/>
  </xdr:twoCellAnchor>
  <xdr:twoCellAnchor>
    <xdr:from>
      <xdr:col>8</xdr:col>
      <xdr:colOff>95250</xdr:colOff>
      <xdr:row>17</xdr:row>
      <xdr:rowOff>152400</xdr:rowOff>
    </xdr:from>
    <xdr:to>
      <xdr:col>8</xdr:col>
      <xdr:colOff>361950</xdr:colOff>
      <xdr:row>19</xdr:row>
      <xdr:rowOff>28575</xdr:rowOff>
    </xdr:to>
    <xdr:sp>
      <xdr:nvSpPr>
        <xdr:cNvPr id="4" name="Oval 4"/>
        <xdr:cNvSpPr>
          <a:spLocks/>
        </xdr:cNvSpPr>
      </xdr:nvSpPr>
      <xdr:spPr>
        <a:xfrm>
          <a:off x="4600575" y="3324225"/>
          <a:ext cx="266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228600</xdr:colOff>
      <xdr:row>13</xdr:row>
      <xdr:rowOff>0</xdr:rowOff>
    </xdr:from>
    <xdr:to>
      <xdr:col>8</xdr:col>
      <xdr:colOff>66675</xdr:colOff>
      <xdr:row>13</xdr:row>
      <xdr:rowOff>0</xdr:rowOff>
    </xdr:to>
    <xdr:sp>
      <xdr:nvSpPr>
        <xdr:cNvPr id="5" name="Line 5"/>
        <xdr:cNvSpPr>
          <a:spLocks/>
        </xdr:cNvSpPr>
      </xdr:nvSpPr>
      <xdr:spPr>
        <a:xfrm>
          <a:off x="4295775" y="2486025"/>
          <a:ext cx="276225" cy="0"/>
        </a:xfrm>
        <a:prstGeom prst="line">
          <a:avLst/>
        </a:prstGeom>
        <a:noFill/>
        <a:ln w="17145" cmpd="sng">
          <a:solidFill>
            <a:srgbClr val="00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314325</xdr:colOff>
      <xdr:row>5</xdr:row>
      <xdr:rowOff>0</xdr:rowOff>
    </xdr:from>
    <xdr:to>
      <xdr:col>8</xdr:col>
      <xdr:colOff>171450</xdr:colOff>
      <xdr:row>5</xdr:row>
      <xdr:rowOff>161925</xdr:rowOff>
    </xdr:to>
    <xdr:sp>
      <xdr:nvSpPr>
        <xdr:cNvPr id="6" name="Rectangle 7"/>
        <xdr:cNvSpPr>
          <a:spLocks/>
        </xdr:cNvSpPr>
      </xdr:nvSpPr>
      <xdr:spPr>
        <a:xfrm>
          <a:off x="4381500" y="895350"/>
          <a:ext cx="2952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304800</xdr:colOff>
      <xdr:row>6</xdr:row>
      <xdr:rowOff>161925</xdr:rowOff>
    </xdr:from>
    <xdr:to>
      <xdr:col>6</xdr:col>
      <xdr:colOff>161925</xdr:colOff>
      <xdr:row>8</xdr:row>
      <xdr:rowOff>85725</xdr:rowOff>
    </xdr:to>
    <xdr:sp>
      <xdr:nvSpPr>
        <xdr:cNvPr id="7" name="Oval 8"/>
        <xdr:cNvSpPr>
          <a:spLocks/>
        </xdr:cNvSpPr>
      </xdr:nvSpPr>
      <xdr:spPr>
        <a:xfrm>
          <a:off x="3495675" y="1228725"/>
          <a:ext cx="2952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76200</xdr:colOff>
      <xdr:row>18</xdr:row>
      <xdr:rowOff>66675</xdr:rowOff>
    </xdr:from>
    <xdr:to>
      <xdr:col>7</xdr:col>
      <xdr:colOff>352425</xdr:colOff>
      <xdr:row>19</xdr:row>
      <xdr:rowOff>9525</xdr:rowOff>
    </xdr:to>
    <xdr:sp>
      <xdr:nvSpPr>
        <xdr:cNvPr id="8" name="Rectangle 9"/>
        <xdr:cNvSpPr>
          <a:spLocks/>
        </xdr:cNvSpPr>
      </xdr:nvSpPr>
      <xdr:spPr>
        <a:xfrm>
          <a:off x="4143375" y="3400425"/>
          <a:ext cx="2762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X56"/>
  <sheetViews>
    <sheetView zoomScalePageLayoutView="0" workbookViewId="0" topLeftCell="A1">
      <selection activeCell="E4" sqref="E4"/>
    </sheetView>
  </sheetViews>
  <sheetFormatPr defaultColWidth="8.75390625" defaultRowHeight="12.75"/>
  <cols>
    <col min="1" max="1" width="13.625" style="1" customWidth="1"/>
    <col min="2" max="13" width="11.75390625" style="2" customWidth="1"/>
    <col min="14" max="16384" width="8.75390625" style="2" customWidth="1"/>
  </cols>
  <sheetData>
    <row r="1" spans="1:6" s="91" customFormat="1" ht="16.5">
      <c r="A1" s="83" t="s">
        <v>0</v>
      </c>
      <c r="B1" s="84">
        <v>1</v>
      </c>
      <c r="C1" s="83" t="s">
        <v>1</v>
      </c>
      <c r="D1" s="85">
        <f>VLOOKUP($B$1,'2020 Wkly Log'!$A$4:$BO$103,2)</f>
        <v>0</v>
      </c>
      <c r="E1" s="160"/>
      <c r="F1" s="158">
        <f>VLOOKUP($B$1,'2020 Wkly Log'!$A$4:$BO$103,3)</f>
        <v>0</v>
      </c>
    </row>
    <row r="2" spans="1:4" ht="30" customHeight="1">
      <c r="A2">
        <v>67</v>
      </c>
      <c r="B2"/>
      <c r="C2"/>
      <c r="D2" s="159"/>
    </row>
    <row r="3" spans="1:50" ht="13.5">
      <c r="A3" s="3" t="s">
        <v>2</v>
      </c>
      <c r="B3" s="4" t="str">
        <f>'2020 Wkly Log'!D2</f>
        <v>Sunday</v>
      </c>
      <c r="C3" s="4" t="str">
        <f>'2020 Wkly Log'!E2</f>
        <v>Sunday</v>
      </c>
      <c r="D3" s="4" t="str">
        <f>'2020 Wkly Log'!F2</f>
        <v>Sunday</v>
      </c>
      <c r="E3" s="4" t="str">
        <f>'2020 Wkly Log'!G2</f>
        <v>Sunday</v>
      </c>
      <c r="F3" s="4" t="str">
        <f>'2020 Wkly Log'!H2</f>
        <v>January</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3.5">
      <c r="A4" s="3" t="s">
        <v>3</v>
      </c>
      <c r="B4" s="5">
        <f>'2020 Wkly Log'!D3</f>
        <v>42373</v>
      </c>
      <c r="C4" s="5">
        <f>'2020 Wkly Log'!E3</f>
        <v>42380</v>
      </c>
      <c r="D4" s="5">
        <f>'2020 Wkly Log'!F3</f>
        <v>42387</v>
      </c>
      <c r="E4" s="5">
        <f>'2020 Wkly Log'!G3</f>
        <v>42394</v>
      </c>
      <c r="F4" s="5" t="str">
        <f>'2020 Wkly Log'!H3</f>
        <v>Designated</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7" ht="13.5">
      <c r="A5" s="6">
        <f>SUM(B5:F5)</f>
        <v>0</v>
      </c>
      <c r="B5" s="7">
        <f>VLOOKUP($B$1,'2020 Wkly Log'!$A$4:$BO$103,4)</f>
        <v>0</v>
      </c>
      <c r="C5" s="7">
        <f>VLOOKUP($B$1,'2020 Wkly Log'!$A$4:$BO$103,5)</f>
        <v>0</v>
      </c>
      <c r="D5" s="7">
        <f>VLOOKUP($B$1,'2020 Wkly Log'!$A$4:$BO$103,6)</f>
        <v>0</v>
      </c>
      <c r="E5" s="7">
        <f>VLOOKUP($B$1,'2020 Wkly Log'!$A$4:$BO$103,7)</f>
        <v>0</v>
      </c>
      <c r="F5" s="7">
        <f>VLOOKUP($B$1,'2020 Wkly Log'!$A$4:$BO$103,8)</f>
        <v>0</v>
      </c>
      <c r="G5" s="13"/>
    </row>
    <row r="7" spans="1:9" ht="13.5">
      <c r="A7" s="3" t="s">
        <v>4</v>
      </c>
      <c r="B7" s="5" t="e">
        <f>'2020 Wkly Log'!#REF!</f>
        <v>#REF!</v>
      </c>
      <c r="C7" s="5" t="str">
        <f>'2020 Wkly Log'!I2</f>
        <v>Sunday</v>
      </c>
      <c r="D7" s="5" t="str">
        <f>'2020 Wkly Log'!J2</f>
        <v>Sunday</v>
      </c>
      <c r="E7" s="5" t="str">
        <f>'2020 Wkly Log'!K2</f>
        <v>Sunday</v>
      </c>
      <c r="F7" s="5" t="str">
        <f>'2020 Wkly Log'!M2</f>
        <v>February</v>
      </c>
      <c r="G7" s="14"/>
      <c r="H7" s="21"/>
      <c r="I7" s="14"/>
    </row>
    <row r="8" spans="1:9" ht="13.5">
      <c r="A8" s="3" t="s">
        <v>3</v>
      </c>
      <c r="B8" s="5" t="e">
        <f>'2020 Wkly Log'!#REF!</f>
        <v>#REF!</v>
      </c>
      <c r="C8" s="5">
        <f>'2020 Wkly Log'!I3</f>
        <v>42401</v>
      </c>
      <c r="D8" s="5">
        <f>'2020 Wkly Log'!J3</f>
        <v>42408</v>
      </c>
      <c r="E8" s="5">
        <f>'2020 Wkly Log'!K3</f>
        <v>42415</v>
      </c>
      <c r="F8" s="5" t="str">
        <f>'2020 Wkly Log'!M3</f>
        <v>Designated</v>
      </c>
      <c r="G8" s="33"/>
      <c r="H8" s="33"/>
      <c r="I8" s="33"/>
    </row>
    <row r="9" spans="1:9" ht="13.5">
      <c r="A9" s="6">
        <f>SUM(B9:F9)</f>
        <v>0</v>
      </c>
      <c r="B9" s="7">
        <f>VLOOKUP($B$1,'2020 Wkly Log'!$A$4:$BO$103,9)</f>
        <v>0</v>
      </c>
      <c r="C9" s="7">
        <f>VLOOKUP($B$1,'2020 Wkly Log'!$A$4:$BO$103,10)</f>
        <v>0</v>
      </c>
      <c r="D9" s="7">
        <f>VLOOKUP($B$1,'2020 Wkly Log'!$A$4:$BO$103,11)</f>
        <v>0</v>
      </c>
      <c r="E9" s="7">
        <f>VLOOKUP($B$1,'2020 Wkly Log'!$A$4:$BO$103,12)</f>
        <v>0</v>
      </c>
      <c r="F9" s="7">
        <f>VLOOKUP($B$1,'2020 Wkly Log'!$A$4:$BO$103,13)</f>
        <v>0</v>
      </c>
      <c r="G9" s="13"/>
      <c r="H9" s="13"/>
      <c r="I9" s="8"/>
    </row>
    <row r="11" spans="1:12" ht="13.5">
      <c r="A11" s="3" t="s">
        <v>5</v>
      </c>
      <c r="B11" s="5" t="str">
        <f>'2020 Wkly Log'!N2</f>
        <v>Sunday</v>
      </c>
      <c r="C11" s="5" t="str">
        <f>'2020 Wkly Log'!O2</f>
        <v>Sunday</v>
      </c>
      <c r="D11" s="5" t="str">
        <f>'2020 Wkly Log'!P2</f>
        <v>Sunday</v>
      </c>
      <c r="E11" s="5" t="str">
        <f>'2020 Wkly Log'!Q2</f>
        <v>Sunday</v>
      </c>
      <c r="F11" s="5" t="str">
        <f>'2020 Wkly Log'!S2</f>
        <v>March</v>
      </c>
      <c r="G11" s="5" t="str">
        <f>'2020 Wkly Log'!T2</f>
        <v>Sunday</v>
      </c>
      <c r="H11" s="14"/>
      <c r="I11" s="14"/>
      <c r="J11" s="14"/>
      <c r="K11" s="14"/>
      <c r="L11"/>
    </row>
    <row r="12" spans="1:12" ht="13.5">
      <c r="A12" s="3" t="s">
        <v>3</v>
      </c>
      <c r="B12" s="5">
        <f>'2020 Wkly Log'!N3</f>
        <v>42429</v>
      </c>
      <c r="C12" s="5">
        <f>'2020 Wkly Log'!O3</f>
        <v>42436</v>
      </c>
      <c r="D12" s="5">
        <f>'2020 Wkly Log'!P3</f>
        <v>42443</v>
      </c>
      <c r="E12" s="5">
        <f>'2020 Wkly Log'!Q3</f>
        <v>42450</v>
      </c>
      <c r="F12" s="5" t="str">
        <f>'2020 Wkly Log'!S3</f>
        <v>Designated</v>
      </c>
      <c r="G12" s="5">
        <f>'2020 Wkly Log'!T3</f>
        <v>42464</v>
      </c>
      <c r="H12" s="33"/>
      <c r="I12" s="33"/>
      <c r="J12" s="33"/>
      <c r="K12" s="33"/>
      <c r="L12"/>
    </row>
    <row r="13" spans="1:12" ht="13.5">
      <c r="A13" s="6">
        <f>SUM(B13:G13)</f>
        <v>0</v>
      </c>
      <c r="B13" s="7">
        <f>VLOOKUP($B$1,'2020 Wkly Log'!$A$4:$BO$103,14)</f>
        <v>0</v>
      </c>
      <c r="C13" s="7">
        <f>VLOOKUP($B$1,'2020 Wkly Log'!$A$4:$BO$103,15)</f>
        <v>0</v>
      </c>
      <c r="D13" s="7">
        <f>VLOOKUP($B$1,'2020 Wkly Log'!$A$4:$BO$103,16)</f>
        <v>0</v>
      </c>
      <c r="E13" s="7">
        <f>VLOOKUP($B$1,'2020 Wkly Log'!$A$4:$BO$103,17)</f>
        <v>0</v>
      </c>
      <c r="F13" s="7">
        <f>VLOOKUP($B$1,'2020 Wkly Log'!$A$4:$BO$103,18)</f>
        <v>0</v>
      </c>
      <c r="G13" s="7">
        <f>VLOOKUP($B$1,'2020 Wkly Log'!$A$4:$BO$103,19)</f>
        <v>0</v>
      </c>
      <c r="H13" s="13"/>
      <c r="I13" s="13"/>
      <c r="J13" s="13"/>
      <c r="K13" s="13"/>
      <c r="L13"/>
    </row>
    <row r="15" spans="1:11" ht="13.5">
      <c r="A15" s="3" t="s">
        <v>6</v>
      </c>
      <c r="B15" s="5" t="str">
        <f>'2020 Wkly Log'!U2</f>
        <v>Sunday</v>
      </c>
      <c r="C15" s="5" t="str">
        <f>'2020 Wkly Log'!V2</f>
        <v>Sunday</v>
      </c>
      <c r="D15" s="5" t="str">
        <f>'2020 Wkly Log'!W2</f>
        <v>Sunday</v>
      </c>
      <c r="E15" s="5" t="e">
        <f>'2020 Wkly Log'!#REF!</f>
        <v>#REF!</v>
      </c>
      <c r="F15" s="4" t="str">
        <f>'2020 Wkly Log'!X2</f>
        <v>April</v>
      </c>
      <c r="G15" s="33"/>
      <c r="H15" s="14"/>
      <c r="I15" s="14"/>
      <c r="J15" s="14"/>
      <c r="K15" s="14"/>
    </row>
    <row r="16" spans="1:11" ht="13.5">
      <c r="A16" s="3" t="s">
        <v>3</v>
      </c>
      <c r="B16" s="5">
        <f>'2020 Wkly Log'!U3</f>
        <v>42471</v>
      </c>
      <c r="C16" s="5">
        <f>'2020 Wkly Log'!V3</f>
        <v>42478</v>
      </c>
      <c r="D16" s="5">
        <f>'2020 Wkly Log'!W3</f>
        <v>42485</v>
      </c>
      <c r="E16" s="5" t="e">
        <f>'2020 Wkly Log'!#REF!</f>
        <v>#REF!</v>
      </c>
      <c r="F16" s="5" t="str">
        <f>'2020 Wkly Log'!X3</f>
        <v>Designated</v>
      </c>
      <c r="G16" s="33"/>
      <c r="H16" s="33"/>
      <c r="I16" s="33"/>
      <c r="J16" s="33"/>
      <c r="K16" s="33"/>
    </row>
    <row r="17" spans="1:11" ht="13.5">
      <c r="A17" s="6">
        <f>SUM(B17:F17)</f>
        <v>0</v>
      </c>
      <c r="B17" s="7">
        <f>VLOOKUP($B$1,'2020 Wkly Log'!$A$4:$BO$103,20)</f>
        <v>0</v>
      </c>
      <c r="C17" s="7">
        <f>VLOOKUP($B$1,'2020 Wkly Log'!$A$4:$BO$103,21)</f>
        <v>0</v>
      </c>
      <c r="D17" s="7">
        <f>VLOOKUP($B$1,'2020 Wkly Log'!$A$4:$BO$103,22)</f>
        <v>0</v>
      </c>
      <c r="E17" s="7">
        <f>VLOOKUP($B$1,'2020 Wkly Log'!$A$4:$BO$103,23)</f>
        <v>0</v>
      </c>
      <c r="F17" s="7">
        <f>VLOOKUP($B$1,'2020 Wkly Log'!$A$4:$BO$103,24)</f>
        <v>0</v>
      </c>
      <c r="G17" s="13"/>
      <c r="H17" s="13"/>
      <c r="I17" s="13"/>
      <c r="J17" s="13"/>
      <c r="K17" s="13"/>
    </row>
    <row r="19" spans="1:8" ht="13.5">
      <c r="A19" s="3" t="s">
        <v>7</v>
      </c>
      <c r="B19" s="4" t="str">
        <f>'2020 Wkly Log'!Y2</f>
        <v>Sunday</v>
      </c>
      <c r="C19" s="4" t="str">
        <f>'2020 Wkly Log'!Z2</f>
        <v>Sunday</v>
      </c>
      <c r="D19" s="4" t="str">
        <f>'2020 Wkly Log'!AA2</f>
        <v>Sunday</v>
      </c>
      <c r="E19" s="4" t="str">
        <f>'2020 Wkly Log'!AB2</f>
        <v>Sunday</v>
      </c>
      <c r="F19" s="4" t="e">
        <f>'2020 Wkly Log'!#REF!</f>
        <v>#REF!</v>
      </c>
      <c r="G19" s="14"/>
      <c r="H19" s="14"/>
    </row>
    <row r="20" spans="1:8" ht="13.5">
      <c r="A20" s="3" t="s">
        <v>3</v>
      </c>
      <c r="B20" s="5">
        <f>'2020 Wkly Log'!Y3</f>
        <v>42492</v>
      </c>
      <c r="C20" s="5">
        <f>'2020 Wkly Log'!Z3</f>
        <v>42499</v>
      </c>
      <c r="D20" s="5">
        <f>'2020 Wkly Log'!AA3</f>
        <v>42506</v>
      </c>
      <c r="E20" s="5">
        <f>'2020 Wkly Log'!AB3</f>
        <v>42513</v>
      </c>
      <c r="F20" s="5" t="e">
        <f>'2020 Wkly Log'!#REF!</f>
        <v>#REF!</v>
      </c>
      <c r="G20" s="33"/>
      <c r="H20" s="33"/>
    </row>
    <row r="21" spans="1:8" ht="13.5">
      <c r="A21" s="6">
        <f>SUM(B21:F21)</f>
        <v>0</v>
      </c>
      <c r="B21" s="7">
        <f>VLOOKUP($B$1,'2020 Wkly Log'!$A$4:$BO$103,25)</f>
        <v>0</v>
      </c>
      <c r="C21" s="7">
        <f>VLOOKUP($B$1,'2020 Wkly Log'!$A$4:$BO$103,26)</f>
        <v>0</v>
      </c>
      <c r="D21" s="7">
        <f>VLOOKUP($B$1,'2020 Wkly Log'!$A$4:$BO$103,27)</f>
        <v>0</v>
      </c>
      <c r="E21" s="7">
        <f>VLOOKUP($B$1,'2020 Wkly Log'!$A$4:$BO$103,28)</f>
        <v>0</v>
      </c>
      <c r="F21" s="7">
        <f>VLOOKUP($B$1,'2020 Wkly Log'!$A$4:$BO$103,29)</f>
        <v>0</v>
      </c>
      <c r="G21" s="13"/>
      <c r="H21" s="13"/>
    </row>
    <row r="23" spans="1:7" ht="13.5">
      <c r="A23" s="3" t="s">
        <v>8</v>
      </c>
      <c r="B23" s="4" t="str">
        <f>'2020 Wkly Log'!AD2</f>
        <v>May</v>
      </c>
      <c r="C23" s="4" t="str">
        <f>'2020 Wkly Log'!AC2</f>
        <v>Sunday</v>
      </c>
      <c r="D23" s="4" t="str">
        <f>'2020 Wkly Log'!AE2</f>
        <v>Sunday</v>
      </c>
      <c r="E23" s="4" t="str">
        <f>'2020 Wkly Log'!AF2</f>
        <v>Sunday</v>
      </c>
      <c r="F23" s="4" t="str">
        <f>'2020 Wkly Log'!AG2</f>
        <v>Sunday</v>
      </c>
      <c r="G23" s="4" t="str">
        <f>'2020 Wkly Log'!AI2</f>
        <v>June</v>
      </c>
    </row>
    <row r="24" spans="1:7" ht="13.5">
      <c r="A24" s="3" t="s">
        <v>3</v>
      </c>
      <c r="B24" s="5" t="str">
        <f>'2020 Wkly Log'!AD3</f>
        <v>Designated</v>
      </c>
      <c r="C24" s="5">
        <f>'2020 Wkly Log'!AC3</f>
        <v>42520</v>
      </c>
      <c r="D24" s="5">
        <f>'2020 Wkly Log'!AE3</f>
        <v>42527</v>
      </c>
      <c r="E24" s="5">
        <f>'2020 Wkly Log'!AF3</f>
        <v>42534</v>
      </c>
      <c r="F24" s="5">
        <f>'2020 Wkly Log'!AG3</f>
        <v>42541</v>
      </c>
      <c r="G24" s="5" t="str">
        <f>'2020 Wkly Log'!AI3</f>
        <v>Designated</v>
      </c>
    </row>
    <row r="25" spans="1:7" ht="13.5">
      <c r="A25" s="6">
        <f>SUM(B25:G25)</f>
        <v>0</v>
      </c>
      <c r="B25" s="7">
        <f>VLOOKUP($B$1,'2020 Wkly Log'!$A$4:$BO$103,30)</f>
        <v>0</v>
      </c>
      <c r="C25" s="7">
        <f>VLOOKUP($B$1,'2020 Wkly Log'!$A$4:$BO$103,31)</f>
        <v>0</v>
      </c>
      <c r="D25" s="7">
        <f>VLOOKUP($B$1,'2020 Wkly Log'!$A$4:$BO$103,32)</f>
        <v>0</v>
      </c>
      <c r="E25" s="7">
        <f>VLOOKUP($B$1,'2020 Wkly Log'!$A$4:$BO$103,33)</f>
        <v>0</v>
      </c>
      <c r="F25" s="7">
        <f>VLOOKUP($B$1,'2020 Wkly Log'!$A$4:$BO$103,34)</f>
        <v>0</v>
      </c>
      <c r="G25" s="7">
        <f>VLOOKUP($B$1,'2020 Wkly Log'!$A$4:$BO$103,35)</f>
        <v>0</v>
      </c>
    </row>
    <row r="27" spans="1:7" ht="13.5">
      <c r="A27" s="3" t="s">
        <v>9</v>
      </c>
      <c r="B27" s="5" t="str">
        <f>'2020 Wkly Log'!AJ2</f>
        <v>Sunday</v>
      </c>
      <c r="C27" s="5" t="str">
        <f>'2020 Wkly Log'!AK2</f>
        <v>Sunday</v>
      </c>
      <c r="D27" s="5" t="str">
        <f>'2020 Wkly Log'!AL2</f>
        <v>Sunday</v>
      </c>
      <c r="E27" s="5" t="str">
        <f>'2020 Wkly Log'!AM2</f>
        <v>Sunday</v>
      </c>
      <c r="F27" s="4" t="str">
        <f>'2020 Wkly Log'!AN2</f>
        <v>July</v>
      </c>
      <c r="G27" s="33"/>
    </row>
    <row r="28" spans="1:7" ht="13.5">
      <c r="A28" s="3" t="s">
        <v>3</v>
      </c>
      <c r="B28" s="5">
        <f>'2020 Wkly Log'!AJ3</f>
        <v>42555</v>
      </c>
      <c r="C28" s="5">
        <f>'2020 Wkly Log'!AK3</f>
        <v>42562</v>
      </c>
      <c r="D28" s="5">
        <f>'2020 Wkly Log'!AL3</f>
        <v>42569</v>
      </c>
      <c r="E28" s="5">
        <f>'2020 Wkly Log'!AM3</f>
        <v>42576</v>
      </c>
      <c r="F28" s="5" t="str">
        <f>'2020 Wkly Log'!AN3</f>
        <v>Designated</v>
      </c>
      <c r="G28" s="33"/>
    </row>
    <row r="29" spans="1:7" ht="13.5">
      <c r="A29" s="6">
        <f>SUM(B29:F29)</f>
        <v>0</v>
      </c>
      <c r="B29" s="7">
        <f>VLOOKUP($B$1,'2020 Wkly Log'!$A$4:$BO$103,36)</f>
        <v>0</v>
      </c>
      <c r="C29" s="7">
        <f>VLOOKUP($B$1,'2020 Wkly Log'!$A$4:$BO$103,37)</f>
        <v>0</v>
      </c>
      <c r="D29" s="7">
        <f>VLOOKUP($B$1,'2020 Wkly Log'!$A$4:$BO$103,38)</f>
        <v>0</v>
      </c>
      <c r="E29" s="7">
        <f>VLOOKUP($B$1,'2020 Wkly Log'!$A$4:$BO$103,39)</f>
        <v>0</v>
      </c>
      <c r="F29" s="7">
        <f>VLOOKUP($B$1,'2020 Wkly Log'!$A$4:$BO$103,40)</f>
        <v>0</v>
      </c>
      <c r="G29" s="13"/>
    </row>
    <row r="31" spans="1:7" ht="13.5">
      <c r="A31" s="3" t="s">
        <v>10</v>
      </c>
      <c r="B31" s="4" t="e">
        <f>'2020 Wkly Log'!#REF!</f>
        <v>#REF!</v>
      </c>
      <c r="C31" s="4" t="str">
        <f>'2020 Wkly Log'!AO2</f>
        <v>Sunday</v>
      </c>
      <c r="D31" s="4" t="str">
        <f>'2020 Wkly Log'!AP2</f>
        <v>Sunday</v>
      </c>
      <c r="E31" s="4" t="str">
        <f>'2020 Wkly Log'!AQ2</f>
        <v>Sunday</v>
      </c>
      <c r="F31" s="4" t="str">
        <f>'2020 Wkly Log'!AR2</f>
        <v>Sunday</v>
      </c>
      <c r="G31" s="4" t="str">
        <f>'2020 Wkly Log'!AT2</f>
        <v>August</v>
      </c>
    </row>
    <row r="32" spans="1:7" ht="13.5">
      <c r="A32" s="3" t="s">
        <v>3</v>
      </c>
      <c r="B32" s="5" t="e">
        <f>'2020 Wkly Log'!#REF!</f>
        <v>#REF!</v>
      </c>
      <c r="C32" s="5">
        <f>'2020 Wkly Log'!AO3</f>
        <v>42583</v>
      </c>
      <c r="D32" s="5">
        <f>'2020 Wkly Log'!AP3</f>
        <v>42590</v>
      </c>
      <c r="E32" s="5">
        <f>'2020 Wkly Log'!AQ3</f>
        <v>42597</v>
      </c>
      <c r="F32" s="5">
        <f>'2020 Wkly Log'!AR3</f>
        <v>42604</v>
      </c>
      <c r="G32" s="5" t="str">
        <f>'2020 Wkly Log'!AT3</f>
        <v>Designated</v>
      </c>
    </row>
    <row r="33" spans="1:7" ht="13.5">
      <c r="A33" s="6">
        <f>SUM(B33:F33)</f>
        <v>0</v>
      </c>
      <c r="B33" s="7">
        <f>VLOOKUP($B$1,'2020 Wkly Log'!$A$4:$BO$103,41)</f>
        <v>0</v>
      </c>
      <c r="C33" s="7">
        <f>VLOOKUP($B$1,'2020 Wkly Log'!$A$4:$BO$103,42)</f>
        <v>0</v>
      </c>
      <c r="D33" s="7">
        <f>VLOOKUP($B$1,'2020 Wkly Log'!$A$4:$BO$103,43)</f>
        <v>0</v>
      </c>
      <c r="E33" s="7">
        <f>VLOOKUP($B$1,'2020 Wkly Log'!$A$4:$BO$103,44)</f>
        <v>0</v>
      </c>
      <c r="F33" s="7">
        <f>VLOOKUP($B$1,'2020 Wkly Log'!$A$4:$BO$103,45)</f>
        <v>0</v>
      </c>
      <c r="G33" s="7">
        <f>VLOOKUP($B$1,'2020 Wkly Log'!$A$4:$BO$103,46)</f>
        <v>0</v>
      </c>
    </row>
    <row r="35" spans="1:7" ht="13.5">
      <c r="A35" s="3" t="s">
        <v>11</v>
      </c>
      <c r="B35" s="4" t="str">
        <f>'2020 Wkly Log'!AS2</f>
        <v>Sunday</v>
      </c>
      <c r="C35" s="4" t="str">
        <f>'2020 Wkly Log'!AU2</f>
        <v>Sunday</v>
      </c>
      <c r="D35" s="4" t="str">
        <f>'2020 Wkly Log'!AV2</f>
        <v>Sunday</v>
      </c>
      <c r="E35" s="4" t="str">
        <f>'2020 Wkly Log'!AW2</f>
        <v>Sunday</v>
      </c>
      <c r="F35" s="4" t="str">
        <f>'2020 Wkly Log'!AY2</f>
        <v>September</v>
      </c>
      <c r="G35" s="14"/>
    </row>
    <row r="36" spans="1:7" ht="13.5">
      <c r="A36" s="3" t="s">
        <v>3</v>
      </c>
      <c r="B36" s="5">
        <f>'2020 Wkly Log'!AS3</f>
        <v>42611</v>
      </c>
      <c r="C36" s="5">
        <f>'2020 Wkly Log'!AU3</f>
        <v>42618</v>
      </c>
      <c r="D36" s="5">
        <f>'2020 Wkly Log'!AV3</f>
        <v>42625</v>
      </c>
      <c r="E36" s="5">
        <f>'2020 Wkly Log'!AW3</f>
        <v>42632</v>
      </c>
      <c r="F36" s="5" t="str">
        <f>'2020 Wkly Log'!AY3</f>
        <v>Designated</v>
      </c>
      <c r="G36" s="33"/>
    </row>
    <row r="37" spans="1:7" ht="13.5">
      <c r="A37" s="6">
        <f>SUM(B37:G37)</f>
        <v>0</v>
      </c>
      <c r="B37" s="7">
        <f>VLOOKUP($B$1,'2020 Wkly Log'!$A$4:$BO$103,47)</f>
        <v>0</v>
      </c>
      <c r="C37" s="7">
        <f>VLOOKUP($B$1,'2020 Wkly Log'!$A$4:$BO$103,48)</f>
        <v>0</v>
      </c>
      <c r="D37" s="7">
        <f>VLOOKUP($B$1,'2020 Wkly Log'!$A$4:$BO$103,49)</f>
        <v>0</v>
      </c>
      <c r="E37" s="7">
        <f>VLOOKUP($B$1,'2020 Wkly Log'!$A$4:$BO$103,50)</f>
        <v>0</v>
      </c>
      <c r="F37" s="7">
        <f>VLOOKUP($B$1,'2020 Wkly Log'!$A$4:$BO$103,51)</f>
        <v>0</v>
      </c>
      <c r="G37" s="13"/>
    </row>
    <row r="39" spans="1:7" ht="13.5">
      <c r="A39" s="3" t="s">
        <v>12</v>
      </c>
      <c r="B39" s="4" t="str">
        <f>'2020 Wkly Log'!AX2</f>
        <v>Sunday</v>
      </c>
      <c r="C39" s="4" t="str">
        <f>'2020 Wkly Log'!AZ2</f>
        <v>Sunday</v>
      </c>
      <c r="D39" s="4" t="str">
        <f>'2020 Wkly Log'!BA2</f>
        <v>Sunday</v>
      </c>
      <c r="E39" s="4" t="str">
        <f>'2020 Wkly Log'!BB2</f>
        <v>Sunday</v>
      </c>
      <c r="F39" s="4" t="str">
        <f>'2020 Wkly Log'!BC2</f>
        <v>October</v>
      </c>
      <c r="G39" s="14"/>
    </row>
    <row r="40" spans="1:7" ht="13.5">
      <c r="A40" s="3" t="s">
        <v>3</v>
      </c>
      <c r="B40" s="5">
        <f>'2020 Wkly Log'!AX3</f>
        <v>42639</v>
      </c>
      <c r="C40" s="5">
        <f>'2020 Wkly Log'!AZ3</f>
        <v>42646</v>
      </c>
      <c r="D40" s="5">
        <f>'2020 Wkly Log'!BA3</f>
        <v>42653</v>
      </c>
      <c r="E40" s="5">
        <f>'2020 Wkly Log'!BB3</f>
        <v>42660</v>
      </c>
      <c r="F40" s="5">
        <f>'2020 Wkly Log'!BC3</f>
        <v>42667</v>
      </c>
      <c r="G40" s="33"/>
    </row>
    <row r="41" spans="1:7" ht="13.5">
      <c r="A41" s="6">
        <f>SUM(B41:F41)</f>
        <v>0</v>
      </c>
      <c r="B41" s="7">
        <f>VLOOKUP($B$1,'2020 Wkly Log'!$A$4:$BO$103,52)</f>
        <v>0</v>
      </c>
      <c r="C41" s="7">
        <f>VLOOKUP($B$1,'2020 Wkly Log'!$A$4:$BO$103,53)</f>
        <v>0</v>
      </c>
      <c r="D41" s="7">
        <f>VLOOKUP($B$1,'2020 Wkly Log'!$A$4:$BO$103,54)</f>
        <v>0</v>
      </c>
      <c r="E41" s="177">
        <f>VLOOKUP($B$1,'2020 Wkly Log'!$A$4:$BO$103,55)</f>
        <v>0</v>
      </c>
      <c r="F41" s="26">
        <f>VLOOKUP($B$1,'2020 Wkly Log'!$A$4:$BO$103,56)</f>
        <v>0</v>
      </c>
      <c r="G41" s="13"/>
    </row>
    <row r="43" spans="1:8" ht="13.5">
      <c r="A43" s="3" t="s">
        <v>13</v>
      </c>
      <c r="B43" s="4" t="str">
        <f>'2020 Wkly Log'!BD2</f>
        <v>October</v>
      </c>
      <c r="C43" s="4" t="str">
        <f>'2020 Wkly Log'!BE2</f>
        <v>Sunday</v>
      </c>
      <c r="D43" s="4" t="str">
        <f>'2020 Wkly Log'!BF2</f>
        <v>Sunday</v>
      </c>
      <c r="E43" s="4" t="str">
        <f>'2020 Wkly Log'!BG2</f>
        <v>Sunday</v>
      </c>
      <c r="F43" s="4" t="str">
        <f>'2020 Wkly Log'!BH2</f>
        <v>Sunday</v>
      </c>
      <c r="G43" s="4" t="str">
        <f>'2020 Wkly Log'!BJ2</f>
        <v>November</v>
      </c>
      <c r="H43" s="14"/>
    </row>
    <row r="44" spans="1:8" ht="13.5">
      <c r="A44" s="3" t="s">
        <v>3</v>
      </c>
      <c r="B44" s="5" t="str">
        <f>'2020 Wkly Log'!BD3</f>
        <v>Designated</v>
      </c>
      <c r="C44" s="5">
        <f>'2020 Wkly Log'!BE3</f>
        <v>42674</v>
      </c>
      <c r="D44" s="5">
        <f>'2020 Wkly Log'!BF3</f>
        <v>42681</v>
      </c>
      <c r="E44" s="5">
        <f>'2020 Wkly Log'!BG3</f>
        <v>42688</v>
      </c>
      <c r="F44" s="5">
        <f>'2020 Wkly Log'!BH3</f>
        <v>42695</v>
      </c>
      <c r="G44" s="5" t="str">
        <f>'2020 Wkly Log'!BJ3</f>
        <v>Designated</v>
      </c>
      <c r="H44" s="33"/>
    </row>
    <row r="45" spans="1:8" ht="13.5">
      <c r="A45" s="6">
        <f>SUM(B45:F45)</f>
        <v>0</v>
      </c>
      <c r="B45" s="7">
        <f>VLOOKUP($B$1,'2020 Wkly Log'!$A$4:$BO$103,57)</f>
        <v>0</v>
      </c>
      <c r="C45" s="7">
        <f>VLOOKUP($B$1,'2020 Wkly Log'!$A$4:$BO$103,58)</f>
        <v>0</v>
      </c>
      <c r="D45" s="7">
        <f>VLOOKUP($B$1,'2020 Wkly Log'!$A$4:$BO$103,59)</f>
        <v>0</v>
      </c>
      <c r="E45" s="7">
        <f>VLOOKUP($B$1,'2020 Wkly Log'!$A$4:$BO$103,60)</f>
        <v>0</v>
      </c>
      <c r="F45" s="7">
        <f>VLOOKUP($B$1,'2020 Wkly Log'!$A$4:$BO$103,61)</f>
        <v>0</v>
      </c>
      <c r="G45" s="7">
        <f>VLOOKUP($B$1,'2020 Wkly Log'!$A$4:$BO$103,62)</f>
        <v>0</v>
      </c>
      <c r="H45" s="13"/>
    </row>
    <row r="47" spans="1:13" ht="13.5">
      <c r="A47" s="3" t="s">
        <v>14</v>
      </c>
      <c r="B47" s="4" t="str">
        <f>'2020 Wkly Log'!BI2</f>
        <v>Sunday</v>
      </c>
      <c r="C47" s="4" t="str">
        <f>'2020 Wkly Log'!BK2</f>
        <v>Sunday</v>
      </c>
      <c r="D47" s="4" t="str">
        <f>'2020 Wkly Log'!BL2</f>
        <v>Sunday</v>
      </c>
      <c r="E47" s="4" t="str">
        <f>'2020 Wkly Log'!BM2</f>
        <v>Sunday</v>
      </c>
      <c r="F47" s="4" t="str">
        <f>'2020 Wkly Log'!BO2</f>
        <v>December</v>
      </c>
      <c r="G47" s="14"/>
      <c r="H47" s="14"/>
      <c r="I47" s="14"/>
      <c r="J47" s="14"/>
      <c r="K47" s="14"/>
      <c r="L47" s="14"/>
      <c r="M47" s="14"/>
    </row>
    <row r="48" spans="1:13" ht="13.5">
      <c r="A48" s="3" t="s">
        <v>3</v>
      </c>
      <c r="B48" s="5">
        <f>'2020 Wkly Log'!BI3</f>
        <v>42702</v>
      </c>
      <c r="C48" s="5">
        <f>'2020 Wkly Log'!BK3</f>
        <v>42709</v>
      </c>
      <c r="D48" s="5">
        <f>'2020 Wkly Log'!BL3</f>
        <v>42716</v>
      </c>
      <c r="E48" s="5">
        <f>'2020 Wkly Log'!BM3</f>
        <v>42723</v>
      </c>
      <c r="F48" s="5" t="str">
        <f>'2020 Wkly Log'!BO3</f>
        <v>Designated</v>
      </c>
      <c r="G48" s="33"/>
      <c r="H48" s="33"/>
      <c r="I48" s="33"/>
      <c r="J48" s="33"/>
      <c r="K48" s="33"/>
      <c r="L48" s="33"/>
      <c r="M48" s="33"/>
    </row>
    <row r="49" spans="1:13" ht="13.5">
      <c r="A49" s="6">
        <f>SUM(B49:G49)</f>
        <v>0</v>
      </c>
      <c r="B49" s="7">
        <f>VLOOKUP($B$1,'2020 Wkly Log'!$A$4:$BO$103,63)</f>
        <v>0</v>
      </c>
      <c r="C49" s="7">
        <f>VLOOKUP($B$1,'2020 Wkly Log'!$A$4:$BO$103,64)</f>
        <v>0</v>
      </c>
      <c r="D49" s="7">
        <f>VLOOKUP($B$1,'2020 Wkly Log'!$A$4:$BO$103,65)</f>
        <v>0</v>
      </c>
      <c r="E49" s="7">
        <f>VLOOKUP($B$1,'2020 Wkly Log'!$A$4:$BO$103,66)</f>
        <v>0</v>
      </c>
      <c r="F49" s="7">
        <f>VLOOKUP($B$1,'2020 Wkly Log'!$A$4:$BO$103,67)</f>
        <v>0</v>
      </c>
      <c r="G49" s="13"/>
      <c r="H49" s="13"/>
      <c r="I49" s="13"/>
      <c r="J49" s="13"/>
      <c r="K49" s="13"/>
      <c r="L49" s="13"/>
      <c r="M49" s="13"/>
    </row>
    <row r="50" spans="1:13" ht="13.5">
      <c r="A50" s="82"/>
      <c r="B50" s="13"/>
      <c r="C50" s="13"/>
      <c r="D50" s="13"/>
      <c r="E50" s="13"/>
      <c r="F50" s="13"/>
      <c r="G50" s="13"/>
      <c r="H50" s="13"/>
      <c r="I50" s="13"/>
      <c r="J50" s="13"/>
      <c r="K50" s="13"/>
      <c r="L50" s="13"/>
      <c r="M50" s="13"/>
    </row>
    <row r="52" spans="1:3" ht="19.5" thickBot="1">
      <c r="A52" s="92">
        <f>SUM(A5:A51)</f>
        <v>0</v>
      </c>
      <c r="B52" s="87" t="s">
        <v>125</v>
      </c>
      <c r="C52" s="86"/>
    </row>
    <row r="53" ht="15" thickTop="1"/>
    <row r="54" spans="1:7" ht="19.5" thickBot="1">
      <c r="A54" s="88" t="e">
        <f>VLOOKUP($B$1,'2020 Wkly Log'!$A$4:$BQ$103,70)</f>
        <v>#REF!</v>
      </c>
      <c r="B54" s="89" t="s">
        <v>15</v>
      </c>
      <c r="C54" s="90"/>
      <c r="F54" s="157" t="str">
        <f>'2020 Wkly Log'!BR3</f>
        <v>52</v>
      </c>
      <c r="G54" s="86" t="s">
        <v>16</v>
      </c>
    </row>
    <row r="55" ht="15" thickTop="1">
      <c r="B55"/>
    </row>
    <row r="56" ht="13.5">
      <c r="A56" s="9"/>
    </row>
  </sheetData>
  <sheetProtection/>
  <printOptions/>
  <pageMargins left="0.75" right="0.6" top="1" bottom="0.84" header="0.5" footer="0.5"/>
  <pageSetup fitToHeight="1" fitToWidth="1" orientation="portrait" scale="83"/>
  <headerFooter alignWithMargins="0">
    <oddHeader>&amp;L&amp;18Personal Stewardship&amp;C&amp;18&amp;A&amp;R&amp;18Faith Lutheran Church&amp;10
&amp;12 143 Washington Street
Oregon, WI 53575</oddHeader>
    <oddFooter>&amp;R&amp;14....&amp;8..Prepared by.......         
Gati Grundmanis  - 
Financial Secretary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H20" sqref="H20"/>
    </sheetView>
  </sheetViews>
  <sheetFormatPr defaultColWidth="11.375" defaultRowHeight="12.75"/>
  <cols>
    <col min="1" max="1" width="24.75390625" style="0" customWidth="1"/>
    <col min="2" max="5" width="13.75390625" style="146" customWidth="1"/>
    <col min="6" max="6" width="24.875" style="146" customWidth="1"/>
    <col min="7" max="7" width="24.75390625" style="0" customWidth="1"/>
    <col min="8" max="8" width="20.00390625" style="0" customWidth="1"/>
  </cols>
  <sheetData>
    <row r="1" spans="1:6" ht="13.5">
      <c r="A1" s="122">
        <f ca="1">TODAY()</f>
        <v>42757</v>
      </c>
      <c r="B1" s="123" t="s">
        <v>98</v>
      </c>
      <c r="C1" s="123"/>
      <c r="D1" s="123"/>
      <c r="E1" s="25"/>
      <c r="F1" s="25"/>
    </row>
    <row r="2" spans="1:6" ht="13.5">
      <c r="A2" s="21"/>
      <c r="B2" s="123" t="s">
        <v>99</v>
      </c>
      <c r="C2" s="123"/>
      <c r="D2" s="123"/>
      <c r="E2"/>
      <c r="F2"/>
    </row>
    <row r="3" spans="1:6" ht="15" thickBot="1">
      <c r="A3" s="21"/>
      <c r="B3" s="25"/>
      <c r="C3" s="25"/>
      <c r="D3" s="25"/>
      <c r="E3" s="25"/>
      <c r="F3" s="25"/>
    </row>
    <row r="4" spans="2:6" ht="13.5">
      <c r="B4" s="124" t="s">
        <v>100</v>
      </c>
      <c r="C4" s="125" t="s">
        <v>101</v>
      </c>
      <c r="D4" s="126" t="s">
        <v>102</v>
      </c>
      <c r="E4" s="126" t="s">
        <v>103</v>
      </c>
      <c r="F4" s="126"/>
    </row>
    <row r="5" spans="1:6" ht="15" thickBot="1">
      <c r="A5" s="127" t="s">
        <v>104</v>
      </c>
      <c r="B5" s="128" t="s">
        <v>8</v>
      </c>
      <c r="C5" s="281">
        <v>2020</v>
      </c>
      <c r="D5" s="282">
        <v>2019</v>
      </c>
      <c r="E5" s="152" t="s">
        <v>149</v>
      </c>
      <c r="F5" s="126"/>
    </row>
    <row r="6" spans="1:6" ht="13.5">
      <c r="A6" s="134" t="s">
        <v>123</v>
      </c>
      <c r="B6" s="131">
        <f>F22</f>
        <v>3831</v>
      </c>
      <c r="C6" s="132">
        <f>B6+May!C6</f>
        <v>14155</v>
      </c>
      <c r="D6" s="25">
        <v>8417</v>
      </c>
      <c r="E6" s="25">
        <f aca="true" t="shared" si="0" ref="E6:E13">C6-D6</f>
        <v>5738</v>
      </c>
      <c r="F6" s="25"/>
    </row>
    <row r="7" spans="1:8" ht="13.5">
      <c r="A7" s="133" t="s">
        <v>105</v>
      </c>
      <c r="B7" s="131">
        <f>F20</f>
        <v>225</v>
      </c>
      <c r="C7" s="132">
        <f>B7+May!C7</f>
        <v>823</v>
      </c>
      <c r="D7" s="25">
        <v>1434.01</v>
      </c>
      <c r="E7" s="25">
        <f t="shared" si="0"/>
        <v>-611.01</v>
      </c>
      <c r="F7" s="25"/>
      <c r="G7" s="99"/>
      <c r="H7" s="25"/>
    </row>
    <row r="8" spans="1:8" ht="13.5">
      <c r="A8" s="133" t="s">
        <v>92</v>
      </c>
      <c r="B8" s="131">
        <f>F21</f>
        <v>4408</v>
      </c>
      <c r="C8" s="132">
        <f>B8+May!C8</f>
        <v>27854.75</v>
      </c>
      <c r="D8" s="25">
        <v>30462.69</v>
      </c>
      <c r="E8" s="25">
        <f t="shared" si="0"/>
        <v>-2607.9399999999987</v>
      </c>
      <c r="F8" s="25"/>
      <c r="G8" s="167"/>
      <c r="H8" s="25"/>
    </row>
    <row r="9" spans="1:8" ht="13.5">
      <c r="A9" s="133" t="s">
        <v>106</v>
      </c>
      <c r="B9" s="131">
        <f>F23</f>
        <v>512</v>
      </c>
      <c r="C9" s="132">
        <f>B9+May!C9</f>
        <v>1281.18</v>
      </c>
      <c r="D9" s="25">
        <v>3025.16</v>
      </c>
      <c r="E9" s="25">
        <f t="shared" si="0"/>
        <v>-1743.9799999999998</v>
      </c>
      <c r="F9" s="25"/>
      <c r="G9" s="99"/>
      <c r="H9" s="25"/>
    </row>
    <row r="10" spans="1:6" ht="13.5">
      <c r="A10" s="133" t="s">
        <v>107</v>
      </c>
      <c r="B10" s="131">
        <f>F24</f>
        <v>25</v>
      </c>
      <c r="C10" s="132">
        <f>B10+May!C10</f>
        <v>25</v>
      </c>
      <c r="D10" s="25">
        <v>300</v>
      </c>
      <c r="E10" s="25">
        <f t="shared" si="0"/>
        <v>-275</v>
      </c>
      <c r="F10" s="25"/>
    </row>
    <row r="11" spans="1:6" ht="15" thickBot="1">
      <c r="A11" s="134" t="s">
        <v>108</v>
      </c>
      <c r="B11" s="131">
        <f>SUM(B6:B10)</f>
        <v>9001</v>
      </c>
      <c r="C11" s="132">
        <f>B11+May!C11</f>
        <v>44138.93</v>
      </c>
      <c r="D11" s="25">
        <v>42218.86</v>
      </c>
      <c r="E11" s="25">
        <f t="shared" si="0"/>
        <v>1920.0699999999997</v>
      </c>
      <c r="F11" s="25"/>
    </row>
    <row r="12" spans="1:6" ht="15" thickBot="1">
      <c r="A12" s="199" t="s">
        <v>109</v>
      </c>
      <c r="B12" s="200">
        <f>F26</f>
        <v>8464</v>
      </c>
      <c r="C12" s="201">
        <f>B12+May!C12</f>
        <v>42971.75</v>
      </c>
      <c r="D12" s="25">
        <f>D11-D10-D9</f>
        <v>38893.7</v>
      </c>
      <c r="E12" s="25">
        <f t="shared" si="0"/>
        <v>4078.050000000003</v>
      </c>
      <c r="F12" s="25"/>
    </row>
    <row r="13" spans="1:6" ht="13.5">
      <c r="A13" s="22" t="s">
        <v>110</v>
      </c>
      <c r="B13" s="131">
        <v>9106.33</v>
      </c>
      <c r="C13" s="132">
        <f>B13*6</f>
        <v>54637.979999999996</v>
      </c>
      <c r="D13" s="25">
        <v>49005.86</v>
      </c>
      <c r="E13" s="25">
        <f t="shared" si="0"/>
        <v>5632.119999999995</v>
      </c>
      <c r="F13" s="25"/>
    </row>
    <row r="14" spans="1:6" ht="15" thickBot="1">
      <c r="A14" s="22" t="s">
        <v>122</v>
      </c>
      <c r="B14" s="135">
        <f>B12-B13</f>
        <v>-642.3299999999999</v>
      </c>
      <c r="C14" s="136">
        <f>C12-C13</f>
        <v>-11666.229999999996</v>
      </c>
      <c r="D14" s="25">
        <f>D12-D13</f>
        <v>-10112.160000000003</v>
      </c>
      <c r="E14" s="25"/>
      <c r="F14"/>
    </row>
    <row r="15" spans="1:6" ht="13.5">
      <c r="A15" s="22" t="s">
        <v>112</v>
      </c>
      <c r="B15" s="156">
        <f>B12/B13</f>
        <v>0.9294633513171607</v>
      </c>
      <c r="C15" s="156">
        <f>C12/C13</f>
        <v>0.7864813084231884</v>
      </c>
      <c r="D15" s="156">
        <f>D12/D13</f>
        <v>0.793654065044466</v>
      </c>
      <c r="E15" s="25"/>
      <c r="F15" s="25"/>
    </row>
    <row r="16" spans="2:13" ht="13.5">
      <c r="B16" s="25"/>
      <c r="C16" s="25"/>
      <c r="D16" s="25"/>
      <c r="E16" s="25"/>
      <c r="F16" s="25"/>
      <c r="G16" s="21"/>
      <c r="H16" s="22"/>
      <c r="I16" s="25"/>
      <c r="J16" s="25"/>
      <c r="K16" s="25"/>
      <c r="L16" s="25"/>
      <c r="M16" s="21"/>
    </row>
    <row r="17" spans="2:12" ht="13.5">
      <c r="B17" s="137" t="s">
        <v>84</v>
      </c>
      <c r="C17" s="137" t="s">
        <v>84</v>
      </c>
      <c r="D17" s="137" t="s">
        <v>84</v>
      </c>
      <c r="E17" s="137" t="s">
        <v>84</v>
      </c>
      <c r="F17" s="31" t="s">
        <v>113</v>
      </c>
      <c r="G17" s="22"/>
      <c r="H17" s="25"/>
      <c r="I17" s="25"/>
      <c r="J17" s="25"/>
      <c r="K17" s="25"/>
      <c r="L17" s="21"/>
    </row>
    <row r="18" spans="1:12" ht="15" thickBot="1">
      <c r="A18" s="138" t="s">
        <v>114</v>
      </c>
      <c r="B18" s="139">
        <f>'2020 Wkly Log'!AE3</f>
        <v>42527</v>
      </c>
      <c r="C18" s="139">
        <f>'2020 Wkly Log'!AF3</f>
        <v>42534</v>
      </c>
      <c r="D18" s="139">
        <f>'2020 Wkly Log'!AG3</f>
        <v>42541</v>
      </c>
      <c r="E18" s="139">
        <f>'2020 Wkly Log'!AH3</f>
        <v>42548</v>
      </c>
      <c r="F18" s="151" t="str">
        <f>B5</f>
        <v>June</v>
      </c>
      <c r="G18" s="22"/>
      <c r="H18" s="25"/>
      <c r="I18" s="25"/>
      <c r="J18" s="25"/>
      <c r="K18" s="25"/>
      <c r="L18" s="21"/>
    </row>
    <row r="19" spans="1:13" ht="13.5">
      <c r="A19" s="22"/>
      <c r="B19" s="25"/>
      <c r="C19" s="25"/>
      <c r="D19" s="25"/>
      <c r="E19" s="25"/>
      <c r="F19" s="25"/>
      <c r="G19" s="140"/>
      <c r="H19" s="21"/>
      <c r="I19" s="21"/>
      <c r="J19" s="21"/>
      <c r="K19" s="21"/>
      <c r="L19" s="21"/>
      <c r="M19" s="21"/>
    </row>
    <row r="20" spans="1:6" ht="13.5">
      <c r="A20" s="22" t="s">
        <v>105</v>
      </c>
      <c r="B20" s="25">
        <v>100</v>
      </c>
      <c r="C20" s="25">
        <v>50</v>
      </c>
      <c r="D20" s="25">
        <v>0</v>
      </c>
      <c r="E20" s="25">
        <v>75</v>
      </c>
      <c r="F20" s="141">
        <f aca="true" t="shared" si="1" ref="F20:F27">SUM(B20:E20)</f>
        <v>225</v>
      </c>
    </row>
    <row r="21" spans="1:6" ht="13.5">
      <c r="A21" s="22" t="s">
        <v>115</v>
      </c>
      <c r="B21" s="25">
        <v>1577</v>
      </c>
      <c r="C21" s="25">
        <v>786</v>
      </c>
      <c r="D21" s="25">
        <v>1775</v>
      </c>
      <c r="E21" s="25">
        <v>270</v>
      </c>
      <c r="F21" s="141">
        <f t="shared" si="1"/>
        <v>4408</v>
      </c>
    </row>
    <row r="22" spans="1:6" ht="13.5">
      <c r="A22" s="22" t="s">
        <v>123</v>
      </c>
      <c r="B22" s="25">
        <v>679</v>
      </c>
      <c r="C22" s="25">
        <v>1974</v>
      </c>
      <c r="D22" s="25">
        <v>694</v>
      </c>
      <c r="E22" s="25">
        <v>484</v>
      </c>
      <c r="F22" s="141">
        <f t="shared" si="1"/>
        <v>3831</v>
      </c>
    </row>
    <row r="23" spans="1:6" ht="13.5">
      <c r="A23" s="22" t="s">
        <v>117</v>
      </c>
      <c r="B23" s="25">
        <v>500</v>
      </c>
      <c r="C23" s="25"/>
      <c r="D23" s="25">
        <v>12</v>
      </c>
      <c r="E23" s="25"/>
      <c r="F23" s="141">
        <f t="shared" si="1"/>
        <v>512</v>
      </c>
    </row>
    <row r="24" spans="1:6" ht="13.5">
      <c r="A24" s="22" t="s">
        <v>118</v>
      </c>
      <c r="B24" s="25">
        <f>SUM(B41:B63)</f>
        <v>0</v>
      </c>
      <c r="C24" s="25">
        <v>25</v>
      </c>
      <c r="D24" s="25">
        <f>SUM(D41:D63)</f>
        <v>0</v>
      </c>
      <c r="E24" s="25">
        <f>SUM(E41:E63)</f>
        <v>0</v>
      </c>
      <c r="F24" s="141">
        <f t="shared" si="1"/>
        <v>25</v>
      </c>
    </row>
    <row r="25" spans="1:6" ht="15" thickBot="1">
      <c r="A25" s="22" t="s">
        <v>119</v>
      </c>
      <c r="B25" s="25">
        <f>SUM(B20:B24)</f>
        <v>2856</v>
      </c>
      <c r="C25" s="25">
        <f>SUM(C20:C24)</f>
        <v>2835</v>
      </c>
      <c r="D25" s="25">
        <f>SUM(D20:D24)</f>
        <v>2481</v>
      </c>
      <c r="E25" s="25">
        <f>SUM(E20:E24)</f>
        <v>829</v>
      </c>
      <c r="F25" s="141">
        <f t="shared" si="1"/>
        <v>9001</v>
      </c>
    </row>
    <row r="26" spans="1:6" ht="15" thickBot="1">
      <c r="A26" s="202" t="s">
        <v>120</v>
      </c>
      <c r="B26" s="203">
        <f>B25-(B24+B23)</f>
        <v>2356</v>
      </c>
      <c r="C26" s="203">
        <f>C25-(C24+C23)</f>
        <v>2810</v>
      </c>
      <c r="D26" s="203">
        <f>D25-(D24+D23)</f>
        <v>2469</v>
      </c>
      <c r="E26" s="203">
        <f>E25-(E24+E23)</f>
        <v>829</v>
      </c>
      <c r="F26" s="204">
        <f t="shared" si="1"/>
        <v>8464</v>
      </c>
    </row>
    <row r="27" spans="1:6" ht="13.5">
      <c r="A27" s="142" t="s">
        <v>121</v>
      </c>
      <c r="B27" s="143">
        <f>B25-B22</f>
        <v>2177</v>
      </c>
      <c r="C27" s="143">
        <f>C25-C22</f>
        <v>861</v>
      </c>
      <c r="D27" s="143">
        <f>D25-D22</f>
        <v>1787</v>
      </c>
      <c r="E27" s="143">
        <f>E25-E22</f>
        <v>345</v>
      </c>
      <c r="F27" s="144">
        <f t="shared" si="1"/>
        <v>5170</v>
      </c>
    </row>
    <row r="28" spans="1:6"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row>
    <row r="29" spans="1:6" ht="15" thickBot="1">
      <c r="A29" s="138" t="s">
        <v>117</v>
      </c>
      <c r="B29" s="154"/>
      <c r="C29" s="154"/>
      <c r="D29" s="154"/>
      <c r="E29" s="154"/>
      <c r="F29" s="127" t="str">
        <f aca="true" t="shared" si="2" ref="F29:F38">A29</f>
        <v>Special Offerings/Funds</v>
      </c>
    </row>
    <row r="30" spans="1:6" ht="13.5">
      <c r="A30" s="22" t="s">
        <v>167</v>
      </c>
      <c r="B30">
        <v>500</v>
      </c>
      <c r="C30" s="25"/>
      <c r="D30" s="25"/>
      <c r="E30" s="285"/>
      <c r="F30" s="287">
        <v>500</v>
      </c>
    </row>
    <row r="31" spans="1:6" ht="13.5">
      <c r="A31" s="22" t="s">
        <v>169</v>
      </c>
      <c r="B31" s="25"/>
      <c r="C31" s="285"/>
      <c r="D31" s="25">
        <v>12</v>
      </c>
      <c r="E31" s="25"/>
      <c r="F31" s="22">
        <v>12</v>
      </c>
    </row>
    <row r="32" spans="1:6" ht="13.5">
      <c r="A32" s="22"/>
      <c r="B32" s="25"/>
      <c r="C32" s="285"/>
      <c r="D32" s="25"/>
      <c r="E32" s="25"/>
      <c r="F32" s="22"/>
    </row>
    <row r="33" spans="1:6" ht="13.5">
      <c r="A33" s="40"/>
      <c r="B33" s="25"/>
      <c r="C33" s="25"/>
      <c r="D33" s="25"/>
      <c r="E33" s="25"/>
      <c r="F33" s="22">
        <f t="shared" si="2"/>
        <v>0</v>
      </c>
    </row>
    <row r="34" spans="1:6" ht="13.5">
      <c r="A34" s="22"/>
      <c r="B34" s="25"/>
      <c r="C34" s="25"/>
      <c r="D34" s="25"/>
      <c r="E34" s="25"/>
      <c r="F34" s="22">
        <f t="shared" si="2"/>
        <v>0</v>
      </c>
    </row>
    <row r="35" spans="1:6" ht="13.5">
      <c r="A35" s="22"/>
      <c r="B35" s="25"/>
      <c r="C35" s="25"/>
      <c r="D35" s="25"/>
      <c r="E35" s="25"/>
      <c r="F35" s="22">
        <f t="shared" si="2"/>
        <v>0</v>
      </c>
    </row>
    <row r="36" spans="1:6" ht="13.5">
      <c r="A36" s="22"/>
      <c r="B36" s="25"/>
      <c r="C36" s="25"/>
      <c r="D36" s="25"/>
      <c r="E36" s="25"/>
      <c r="F36" s="22">
        <f t="shared" si="2"/>
        <v>0</v>
      </c>
    </row>
    <row r="37" spans="1:6" ht="13.5">
      <c r="A37" s="22"/>
      <c r="B37" s="25"/>
      <c r="C37" s="25"/>
      <c r="D37" s="25"/>
      <c r="E37" s="25"/>
      <c r="F37" s="22">
        <f t="shared" si="2"/>
        <v>0</v>
      </c>
    </row>
    <row r="38" spans="1:6" ht="13.5">
      <c r="A38" s="22"/>
      <c r="B38" s="25"/>
      <c r="C38" s="25"/>
      <c r="D38" s="25"/>
      <c r="E38" s="25"/>
      <c r="F38" s="22">
        <f t="shared" si="2"/>
        <v>0</v>
      </c>
    </row>
    <row r="39" spans="1:6" ht="13.5">
      <c r="A39" s="21"/>
      <c r="B39" s="25"/>
      <c r="C39" s="25"/>
      <c r="D39" s="25"/>
      <c r="E39" s="25"/>
      <c r="F39" s="22"/>
    </row>
    <row r="40" spans="1:6" ht="15" thickBot="1">
      <c r="A40" s="127" t="s">
        <v>118</v>
      </c>
      <c r="B40" s="154"/>
      <c r="C40" s="154"/>
      <c r="D40" s="154"/>
      <c r="E40" s="154"/>
      <c r="F40" s="127" t="str">
        <f aca="true" t="shared" si="3" ref="F40:F48">A40</f>
        <v>Memorials</v>
      </c>
    </row>
    <row r="41" spans="1:6" ht="13.5">
      <c r="A41" s="22" t="s">
        <v>168</v>
      </c>
      <c r="B41" s="25"/>
      <c r="C41" s="285">
        <v>25</v>
      </c>
      <c r="D41" s="25"/>
      <c r="E41" s="25"/>
      <c r="F41" s="287">
        <v>25</v>
      </c>
    </row>
    <row r="42" spans="1:7" ht="13.5">
      <c r="A42" s="22"/>
      <c r="B42" s="25"/>
      <c r="C42" s="25"/>
      <c r="D42" s="25"/>
      <c r="E42" s="25"/>
      <c r="F42" s="22">
        <f t="shared" si="3"/>
        <v>0</v>
      </c>
      <c r="G42" s="22"/>
    </row>
    <row r="43" spans="1:7" ht="13.5">
      <c r="A43" s="22"/>
      <c r="B43" s="25"/>
      <c r="C43" s="25"/>
      <c r="D43" s="25"/>
      <c r="E43" s="25"/>
      <c r="F43" s="22">
        <f t="shared" si="3"/>
        <v>0</v>
      </c>
      <c r="G43" s="22"/>
    </row>
    <row r="44" spans="1:7" ht="13.5">
      <c r="A44" s="40"/>
      <c r="B44" s="25"/>
      <c r="C44" s="25"/>
      <c r="D44" s="25"/>
      <c r="E44" s="25"/>
      <c r="F44" s="22">
        <f t="shared" si="3"/>
        <v>0</v>
      </c>
      <c r="G44" s="22"/>
    </row>
    <row r="45" spans="1:7" ht="13.5">
      <c r="A45" s="22"/>
      <c r="B45" s="25"/>
      <c r="C45" s="25"/>
      <c r="D45" s="25"/>
      <c r="E45" s="25"/>
      <c r="F45" s="22">
        <f t="shared" si="3"/>
        <v>0</v>
      </c>
      <c r="G45" s="22"/>
    </row>
    <row r="46" spans="1:7" ht="13.5">
      <c r="A46" s="22"/>
      <c r="B46" s="25"/>
      <c r="C46" s="25"/>
      <c r="D46" s="25"/>
      <c r="E46" s="25"/>
      <c r="F46" s="22">
        <f t="shared" si="3"/>
        <v>0</v>
      </c>
      <c r="G46" s="22"/>
    </row>
    <row r="47" spans="1:7" ht="13.5">
      <c r="A47" s="22"/>
      <c r="B47" s="25"/>
      <c r="C47" s="25"/>
      <c r="D47" s="25"/>
      <c r="E47" s="25"/>
      <c r="F47" s="22">
        <f t="shared" si="3"/>
        <v>0</v>
      </c>
      <c r="G47" s="22"/>
    </row>
    <row r="48" spans="1:7" ht="13.5">
      <c r="A48" s="22"/>
      <c r="B48" s="25"/>
      <c r="C48" s="25"/>
      <c r="D48" s="25"/>
      <c r="E48" s="25"/>
      <c r="F48" s="22">
        <f t="shared" si="3"/>
        <v>0</v>
      </c>
      <c r="G48" s="22"/>
    </row>
    <row r="49" spans="1:7" ht="13.5">
      <c r="A49" s="22"/>
      <c r="B49" s="25"/>
      <c r="C49" s="25"/>
      <c r="D49" s="25"/>
      <c r="E49" s="25"/>
      <c r="F49" s="22">
        <f aca="true" t="shared" si="4" ref="F49:F55">A49</f>
        <v>0</v>
      </c>
      <c r="G49" s="22"/>
    </row>
    <row r="50" spans="1:7" ht="13.5">
      <c r="A50" s="22"/>
      <c r="B50" s="25"/>
      <c r="C50" s="25"/>
      <c r="D50" s="25"/>
      <c r="E50" s="25"/>
      <c r="F50" s="22">
        <f t="shared" si="4"/>
        <v>0</v>
      </c>
      <c r="G50" s="22"/>
    </row>
    <row r="51" spans="1:7" ht="13.5">
      <c r="A51" s="22"/>
      <c r="B51" s="25"/>
      <c r="C51" s="25"/>
      <c r="D51" s="25"/>
      <c r="E51" s="25"/>
      <c r="F51" s="22">
        <f t="shared" si="4"/>
        <v>0</v>
      </c>
      <c r="G51" s="22"/>
    </row>
    <row r="52" spans="1:7" ht="13.5">
      <c r="A52" s="22"/>
      <c r="B52" s="25"/>
      <c r="C52" s="25"/>
      <c r="D52" s="25"/>
      <c r="E52" s="25"/>
      <c r="F52" s="22">
        <f t="shared" si="4"/>
        <v>0</v>
      </c>
      <c r="G52" s="22"/>
    </row>
    <row r="53" spans="1:7" ht="13.5">
      <c r="A53" s="22"/>
      <c r="B53" s="25"/>
      <c r="C53" s="25"/>
      <c r="D53" s="25"/>
      <c r="E53" s="25"/>
      <c r="F53" s="22">
        <f t="shared" si="4"/>
        <v>0</v>
      </c>
      <c r="G53" s="22"/>
    </row>
    <row r="54" spans="1:7" ht="13.5">
      <c r="A54" s="22"/>
      <c r="B54" s="25"/>
      <c r="C54" s="25"/>
      <c r="D54" s="25"/>
      <c r="E54" s="25"/>
      <c r="F54" s="22">
        <f t="shared" si="4"/>
        <v>0</v>
      </c>
      <c r="G54" s="22"/>
    </row>
    <row r="55" spans="1:7" ht="13.5">
      <c r="A55" s="22"/>
      <c r="B55" s="25"/>
      <c r="C55" s="25"/>
      <c r="D55" s="25"/>
      <c r="E55" s="25"/>
      <c r="F55" s="22">
        <f t="shared" si="4"/>
        <v>0</v>
      </c>
      <c r="G55" s="22"/>
    </row>
    <row r="56" spans="1:7" ht="13.5">
      <c r="A56" s="22"/>
      <c r="B56" s="25"/>
      <c r="C56" s="25"/>
      <c r="D56" s="25"/>
      <c r="E56" s="25"/>
      <c r="F56" s="25"/>
      <c r="G56" s="22"/>
    </row>
    <row r="57" spans="1:7" ht="13.5">
      <c r="A57" s="22"/>
      <c r="B57" s="25"/>
      <c r="C57" s="25"/>
      <c r="D57" s="25"/>
      <c r="E57" s="25"/>
      <c r="F57" s="25"/>
      <c r="G57" s="22"/>
    </row>
    <row r="58" spans="1:7" ht="13.5">
      <c r="A58" s="22"/>
      <c r="B58" s="25"/>
      <c r="C58" s="25"/>
      <c r="D58" s="25"/>
      <c r="E58" s="25"/>
      <c r="F58" s="25"/>
      <c r="G58" s="22"/>
    </row>
    <row r="59" spans="1:7" ht="13.5">
      <c r="A59" s="22"/>
      <c r="B59" s="25"/>
      <c r="C59" s="25"/>
      <c r="D59" s="25"/>
      <c r="E59" s="25"/>
      <c r="F59" s="25"/>
      <c r="G59" s="22"/>
    </row>
    <row r="60" spans="1:7" ht="13.5">
      <c r="A60" s="22"/>
      <c r="B60" s="25"/>
      <c r="C60" s="25"/>
      <c r="D60" s="25"/>
      <c r="E60" s="25"/>
      <c r="F60" s="25"/>
      <c r="G60" s="22"/>
    </row>
    <row r="61" spans="1:7" ht="13.5">
      <c r="A61" s="22"/>
      <c r="B61" s="25"/>
      <c r="C61" s="25"/>
      <c r="D61" s="25"/>
      <c r="E61" s="25"/>
      <c r="F61" s="25"/>
      <c r="G61" s="22"/>
    </row>
    <row r="62" spans="1:7" ht="13.5">
      <c r="A62" s="22"/>
      <c r="B62" s="25"/>
      <c r="C62" s="25"/>
      <c r="D62" s="25"/>
      <c r="E62" s="25"/>
      <c r="F62" s="25"/>
      <c r="G62" s="22"/>
    </row>
    <row r="63" spans="1:7" ht="13.5">
      <c r="A63" s="22"/>
      <c r="B63" s="25"/>
      <c r="C63" s="25"/>
      <c r="D63" s="25"/>
      <c r="E63" s="25"/>
      <c r="F63" s="25"/>
      <c r="G63" s="22"/>
    </row>
    <row r="64" spans="1:7" ht="13.5">
      <c r="A64" s="22"/>
      <c r="B64" s="25"/>
      <c r="C64" s="25"/>
      <c r="D64" s="25"/>
      <c r="E64" s="25"/>
      <c r="F64" s="25"/>
      <c r="G64" s="41"/>
    </row>
    <row r="65" spans="1:7" ht="13.5">
      <c r="A65" s="22"/>
      <c r="B65" s="25"/>
      <c r="C65" s="25"/>
      <c r="D65" s="25"/>
      <c r="E65" s="25"/>
      <c r="F65" s="25"/>
      <c r="G65" s="41"/>
    </row>
    <row r="66" spans="1:7" ht="13.5">
      <c r="A66" s="22"/>
      <c r="B66" s="25"/>
      <c r="C66" s="25"/>
      <c r="D66" s="25"/>
      <c r="E66" s="25"/>
      <c r="F66" s="25"/>
      <c r="G66" s="41"/>
    </row>
    <row r="67" spans="1:7" ht="13.5">
      <c r="A67" s="22"/>
      <c r="B67" s="25"/>
      <c r="C67" s="25"/>
      <c r="D67" s="25"/>
      <c r="E67" s="25"/>
      <c r="F67" s="25"/>
      <c r="G67" s="21"/>
    </row>
    <row r="68" ht="13.5">
      <c r="G68" s="21"/>
    </row>
    <row r="69" ht="13.5">
      <c r="G69" s="21"/>
    </row>
    <row r="70" ht="13.5">
      <c r="G70" s="21"/>
    </row>
    <row r="71" ht="13.5">
      <c r="G71" s="21"/>
    </row>
    <row r="72" ht="13.5">
      <c r="G72" s="21"/>
    </row>
  </sheetData>
  <sheetProtection/>
  <printOptions gridLines="1"/>
  <pageMargins left="0.5" right="0.25" top="0.75" bottom="0.5" header="0.5" footer="0.5"/>
  <pageSetup fitToHeight="1" fitToWidth="1" orientation="portrait" scale="76"/>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A1:L67"/>
  <sheetViews>
    <sheetView zoomScalePageLayoutView="0" workbookViewId="0" topLeftCell="A1">
      <selection activeCell="E23" sqref="E23"/>
    </sheetView>
  </sheetViews>
  <sheetFormatPr defaultColWidth="11.375" defaultRowHeight="12.75"/>
  <cols>
    <col min="1" max="1" width="24.75390625" style="0" customWidth="1"/>
    <col min="2" max="5" width="13.75390625" style="146" customWidth="1"/>
    <col min="6" max="6" width="20.00390625" style="0" customWidth="1"/>
  </cols>
  <sheetData>
    <row r="1" spans="1:5" ht="13.5">
      <c r="A1" s="122">
        <f ca="1">TODAY()</f>
        <v>42757</v>
      </c>
      <c r="B1" s="123" t="s">
        <v>98</v>
      </c>
      <c r="C1" s="123"/>
      <c r="D1" s="123"/>
      <c r="E1" s="25"/>
    </row>
    <row r="2" spans="1:5" ht="13.5">
      <c r="A2" s="21"/>
      <c r="B2" s="123" t="s">
        <v>99</v>
      </c>
      <c r="C2" s="123"/>
      <c r="D2" s="123"/>
      <c r="E2"/>
    </row>
    <row r="3" spans="1:5" ht="15" thickBot="1">
      <c r="A3" s="21"/>
      <c r="B3" s="25"/>
      <c r="C3" s="25"/>
      <c r="D3" s="25"/>
      <c r="E3" s="25"/>
    </row>
    <row r="4" spans="2:5" ht="13.5">
      <c r="B4" s="124" t="s">
        <v>100</v>
      </c>
      <c r="C4" s="125" t="s">
        <v>101</v>
      </c>
      <c r="D4" s="126" t="s">
        <v>102</v>
      </c>
      <c r="E4" s="126" t="s">
        <v>103</v>
      </c>
    </row>
    <row r="5" spans="1:5" ht="15" thickBot="1">
      <c r="A5" s="127" t="s">
        <v>104</v>
      </c>
      <c r="B5" s="128" t="s">
        <v>9</v>
      </c>
      <c r="C5" s="281">
        <v>2020</v>
      </c>
      <c r="D5" s="282">
        <v>2019</v>
      </c>
      <c r="E5" s="152" t="s">
        <v>149</v>
      </c>
    </row>
    <row r="6" spans="1:5" ht="13.5">
      <c r="A6" s="134" t="s">
        <v>123</v>
      </c>
      <c r="B6" s="131">
        <f>F22</f>
        <v>3831</v>
      </c>
      <c r="C6" s="132">
        <f>B6+June!C6</f>
        <v>17986</v>
      </c>
      <c r="D6" s="25">
        <v>10053</v>
      </c>
      <c r="E6" s="25">
        <f aca="true" t="shared" si="0" ref="E6:E13">C6-D6</f>
        <v>7933</v>
      </c>
    </row>
    <row r="7" spans="1:5" ht="13.5">
      <c r="A7" s="133" t="s">
        <v>105</v>
      </c>
      <c r="B7" s="131">
        <f>F20</f>
        <v>57</v>
      </c>
      <c r="C7" s="132">
        <f>B7+June!C7</f>
        <v>880</v>
      </c>
      <c r="D7" s="25">
        <v>1684</v>
      </c>
      <c r="E7" s="25">
        <f t="shared" si="0"/>
        <v>-804</v>
      </c>
    </row>
    <row r="8" spans="1:5" ht="13.5">
      <c r="A8" s="133" t="s">
        <v>92</v>
      </c>
      <c r="B8" s="131">
        <f>F21</f>
        <v>2166</v>
      </c>
      <c r="C8" s="132">
        <f>B8+June!C8</f>
        <v>30020.75</v>
      </c>
      <c r="D8" s="25">
        <v>33585</v>
      </c>
      <c r="E8" s="25">
        <f t="shared" si="0"/>
        <v>-3564.25</v>
      </c>
    </row>
    <row r="9" spans="1:5" ht="13.5">
      <c r="A9" s="133" t="s">
        <v>106</v>
      </c>
      <c r="B9" s="131">
        <f>F23</f>
        <v>548</v>
      </c>
      <c r="C9" s="132">
        <f>B9+June!C9</f>
        <v>1829.18</v>
      </c>
      <c r="D9" s="25">
        <v>3038.16</v>
      </c>
      <c r="E9" s="25">
        <f t="shared" si="0"/>
        <v>-1208.9799999999998</v>
      </c>
    </row>
    <row r="10" spans="1:5" ht="13.5">
      <c r="A10" s="133" t="s">
        <v>107</v>
      </c>
      <c r="B10" s="131">
        <f>F24</f>
        <v>0</v>
      </c>
      <c r="C10" s="132">
        <f>B10+June!C10</f>
        <v>25</v>
      </c>
      <c r="D10" s="25">
        <v>300</v>
      </c>
      <c r="E10" s="25">
        <f t="shared" si="0"/>
        <v>-275</v>
      </c>
    </row>
    <row r="11" spans="1:5" ht="15" thickBot="1">
      <c r="A11" s="134" t="s">
        <v>108</v>
      </c>
      <c r="B11" s="131">
        <f>SUM(B6:B10)</f>
        <v>6602</v>
      </c>
      <c r="C11" s="132">
        <f>B11+June!C11</f>
        <v>50740.93</v>
      </c>
      <c r="D11" s="25">
        <v>47240</v>
      </c>
      <c r="E11" s="25">
        <f t="shared" si="0"/>
        <v>3500.9300000000003</v>
      </c>
    </row>
    <row r="12" spans="1:5" ht="15" thickBot="1">
      <c r="A12" s="205" t="s">
        <v>109</v>
      </c>
      <c r="B12" s="206">
        <f>F26</f>
        <v>6054</v>
      </c>
      <c r="C12" s="207">
        <f>B12+June!C12</f>
        <v>49025.75</v>
      </c>
      <c r="D12" s="25">
        <v>54014.86</v>
      </c>
      <c r="E12" s="25">
        <f t="shared" si="0"/>
        <v>-4989.110000000001</v>
      </c>
    </row>
    <row r="13" spans="1:5" ht="13.5">
      <c r="A13" s="22" t="s">
        <v>110</v>
      </c>
      <c r="B13" s="131">
        <v>9106.33</v>
      </c>
      <c r="C13" s="132">
        <f>B13*7</f>
        <v>63744.31</v>
      </c>
      <c r="D13" s="25">
        <v>58450</v>
      </c>
      <c r="E13" s="25">
        <f t="shared" si="0"/>
        <v>5294.309999999998</v>
      </c>
    </row>
    <row r="14" spans="1:5" ht="15" thickBot="1">
      <c r="A14" s="22" t="s">
        <v>122</v>
      </c>
      <c r="B14" s="135">
        <f>B12-B13</f>
        <v>-3052.33</v>
      </c>
      <c r="C14" s="136">
        <f>C12-C13</f>
        <v>-14718.559999999998</v>
      </c>
      <c r="D14" s="25">
        <f>D12-D13</f>
        <v>-4435.139999999999</v>
      </c>
      <c r="E14" s="25"/>
    </row>
    <row r="15" spans="1:5" ht="13.5">
      <c r="A15" s="22" t="s">
        <v>112</v>
      </c>
      <c r="B15" s="156">
        <f>B12/B13</f>
        <v>0.664812278931249</v>
      </c>
      <c r="C15" s="156">
        <f>C12/C13</f>
        <v>0.7691000184957685</v>
      </c>
      <c r="D15" s="156">
        <f>D12/D13</f>
        <v>0.9241207869974337</v>
      </c>
      <c r="E15" s="25"/>
    </row>
    <row r="16" spans="2:11" ht="13.5">
      <c r="B16" s="25"/>
      <c r="C16" s="25"/>
      <c r="D16" s="25"/>
      <c r="E16" s="25"/>
      <c r="F16" s="22"/>
      <c r="G16" s="25"/>
      <c r="H16" s="25"/>
      <c r="I16" s="25"/>
      <c r="J16" s="25"/>
      <c r="K16" s="21"/>
    </row>
    <row r="17" spans="2:12" ht="13.5">
      <c r="B17" s="137" t="s">
        <v>84</v>
      </c>
      <c r="C17" s="137" t="s">
        <v>84</v>
      </c>
      <c r="D17" s="137" t="s">
        <v>84</v>
      </c>
      <c r="E17" s="137" t="s">
        <v>84</v>
      </c>
      <c r="F17" s="31" t="s">
        <v>113</v>
      </c>
      <c r="G17" s="22"/>
      <c r="H17" s="25"/>
      <c r="I17" s="25"/>
      <c r="J17" s="25"/>
      <c r="K17" s="25"/>
      <c r="L17" s="21"/>
    </row>
    <row r="18" spans="1:12" ht="15" thickBot="1">
      <c r="A18" s="138" t="s">
        <v>114</v>
      </c>
      <c r="B18" s="139">
        <f>'2020 Wkly Log'!AJ3</f>
        <v>42555</v>
      </c>
      <c r="C18" s="139">
        <f>'2020 Wkly Log'!AK3</f>
        <v>42562</v>
      </c>
      <c r="D18" s="139">
        <f>'2020 Wkly Log'!AL3</f>
        <v>42569</v>
      </c>
      <c r="E18" s="139">
        <f>'2020 Wkly Log'!AM3</f>
        <v>42576</v>
      </c>
      <c r="F18" s="151" t="str">
        <f>B5</f>
        <v>July</v>
      </c>
      <c r="G18" s="22"/>
      <c r="H18" s="25"/>
      <c r="I18" s="25"/>
      <c r="J18" s="25"/>
      <c r="K18" s="25"/>
      <c r="L18" s="21"/>
    </row>
    <row r="19" spans="1:12" ht="13.5">
      <c r="A19" s="22"/>
      <c r="B19" s="25"/>
      <c r="C19" s="25"/>
      <c r="D19" s="25"/>
      <c r="E19" s="25"/>
      <c r="F19" s="140"/>
      <c r="G19" s="21"/>
      <c r="H19" s="21"/>
      <c r="I19" s="21"/>
      <c r="J19" s="21"/>
      <c r="K19" s="21"/>
      <c r="L19" s="21"/>
    </row>
    <row r="20" spans="1:6" s="102" customFormat="1" ht="12.75" customHeight="1">
      <c r="A20" s="174" t="s">
        <v>105</v>
      </c>
      <c r="B20" s="176">
        <v>20</v>
      </c>
      <c r="C20" s="176">
        <v>17</v>
      </c>
      <c r="D20" s="176">
        <v>20</v>
      </c>
      <c r="E20" s="176">
        <v>0</v>
      </c>
      <c r="F20" s="175">
        <f aca="true" t="shared" si="1" ref="F20:F27">SUM(B20:E20)</f>
        <v>57</v>
      </c>
    </row>
    <row r="21" spans="1:6" ht="13.5">
      <c r="A21" s="22" t="s">
        <v>115</v>
      </c>
      <c r="B21" s="25">
        <v>471</v>
      </c>
      <c r="C21" s="25">
        <v>560</v>
      </c>
      <c r="D21" s="25">
        <v>1005</v>
      </c>
      <c r="E21" s="25">
        <v>130</v>
      </c>
      <c r="F21" s="175">
        <f t="shared" si="1"/>
        <v>2166</v>
      </c>
    </row>
    <row r="22" spans="1:6" ht="13.5">
      <c r="A22" s="22" t="s">
        <v>116</v>
      </c>
      <c r="B22" s="25">
        <v>679</v>
      </c>
      <c r="C22" s="25">
        <v>1974</v>
      </c>
      <c r="D22" s="25">
        <v>694</v>
      </c>
      <c r="E22" s="25">
        <v>484</v>
      </c>
      <c r="F22" s="175">
        <f t="shared" si="1"/>
        <v>3831</v>
      </c>
    </row>
    <row r="23" spans="1:6" ht="13.5">
      <c r="A23" s="22" t="s">
        <v>117</v>
      </c>
      <c r="B23" s="25">
        <f>SUM(B30:B38)</f>
        <v>0</v>
      </c>
      <c r="C23" s="25">
        <f>SUM(C30:C38)</f>
        <v>8</v>
      </c>
      <c r="D23" s="25">
        <v>540</v>
      </c>
      <c r="E23" s="25">
        <f>SUM(E30:E38)</f>
        <v>0</v>
      </c>
      <c r="F23" s="175">
        <f t="shared" si="1"/>
        <v>548</v>
      </c>
    </row>
    <row r="24" spans="1:6" ht="13.5">
      <c r="A24" s="22" t="s">
        <v>118</v>
      </c>
      <c r="B24" s="25">
        <f>SUM(B41:B64)</f>
        <v>0</v>
      </c>
      <c r="C24" s="25">
        <f>SUM(C41:C64)</f>
        <v>0</v>
      </c>
      <c r="D24" s="25">
        <f>SUM(D41:D64)</f>
        <v>0</v>
      </c>
      <c r="E24" s="25">
        <f>SUM(E41:E64)</f>
        <v>0</v>
      </c>
      <c r="F24" s="175">
        <f t="shared" si="1"/>
        <v>0</v>
      </c>
    </row>
    <row r="25" spans="1:6" ht="15" thickBot="1">
      <c r="A25" s="22" t="s">
        <v>119</v>
      </c>
      <c r="B25" s="25">
        <f>SUM(B20:B24)</f>
        <v>1170</v>
      </c>
      <c r="C25" s="25">
        <f>SUM(C20:C24)</f>
        <v>2559</v>
      </c>
      <c r="D25" s="25">
        <f>SUM(D20:D24)</f>
        <v>2259</v>
      </c>
      <c r="E25" s="25">
        <f>SUM(E20:E24)</f>
        <v>614</v>
      </c>
      <c r="F25" s="175">
        <f t="shared" si="1"/>
        <v>6602</v>
      </c>
    </row>
    <row r="26" spans="1:6" ht="15" thickBot="1">
      <c r="A26" s="208" t="s">
        <v>120</v>
      </c>
      <c r="B26" s="209">
        <f>B25-(B24+B23)</f>
        <v>1170</v>
      </c>
      <c r="C26" s="209">
        <f>C25-(C24+C23)</f>
        <v>2551</v>
      </c>
      <c r="D26" s="209">
        <f>D25-(D24+D23)</f>
        <v>1719</v>
      </c>
      <c r="E26" s="209">
        <f>E25-(E24+E23)</f>
        <v>614</v>
      </c>
      <c r="F26" s="210">
        <f t="shared" si="1"/>
        <v>6054</v>
      </c>
    </row>
    <row r="27" spans="1:6" ht="13.5">
      <c r="A27" s="142" t="s">
        <v>121</v>
      </c>
      <c r="B27" s="143">
        <f>B25-B22</f>
        <v>491</v>
      </c>
      <c r="C27" s="143">
        <f>C25-C22</f>
        <v>585</v>
      </c>
      <c r="D27" s="143">
        <f>D25-D22</f>
        <v>1565</v>
      </c>
      <c r="E27" s="143">
        <f>E25-E22</f>
        <v>130</v>
      </c>
      <c r="F27" s="175">
        <f t="shared" si="1"/>
        <v>2771</v>
      </c>
    </row>
    <row r="28" spans="1:6"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row>
    <row r="29" spans="1:6" ht="15" thickBot="1">
      <c r="A29" s="138" t="s">
        <v>117</v>
      </c>
      <c r="B29" s="154"/>
      <c r="C29" s="154"/>
      <c r="D29" s="154"/>
      <c r="E29" s="154"/>
      <c r="F29" s="127" t="str">
        <f aca="true" t="shared" si="2" ref="F29:F38">A29</f>
        <v>Special Offerings/Funds</v>
      </c>
    </row>
    <row r="30" spans="1:6" ht="13.5">
      <c r="A30" s="22" t="s">
        <v>170</v>
      </c>
      <c r="B30" s="289"/>
      <c r="C30" s="240">
        <v>8</v>
      </c>
      <c r="D30" s="25"/>
      <c r="E30" s="25"/>
      <c r="F30" s="286">
        <v>8</v>
      </c>
    </row>
    <row r="31" spans="1:6" ht="13.5">
      <c r="A31" s="22" t="s">
        <v>171</v>
      </c>
      <c r="B31" s="25"/>
      <c r="C31" s="25"/>
      <c r="D31" s="25">
        <v>200</v>
      </c>
      <c r="E31" s="25"/>
      <c r="F31" s="22" t="str">
        <f t="shared" si="2"/>
        <v>Peru Teachers Fund</v>
      </c>
    </row>
    <row r="32" spans="1:6" ht="13.5">
      <c r="A32" s="22" t="s">
        <v>172</v>
      </c>
      <c r="B32" s="25"/>
      <c r="C32" s="25"/>
      <c r="D32" s="25">
        <v>340</v>
      </c>
      <c r="E32" s="25"/>
      <c r="F32" s="22" t="str">
        <f t="shared" si="2"/>
        <v>Christmas and Pentacost Banners</v>
      </c>
    </row>
    <row r="33" spans="1:6" ht="13.5">
      <c r="A33" s="40"/>
      <c r="B33" s="25"/>
      <c r="C33" s="25"/>
      <c r="D33" s="25"/>
      <c r="E33" s="25"/>
      <c r="F33" s="22">
        <f t="shared" si="2"/>
        <v>0</v>
      </c>
    </row>
    <row r="34" spans="1:6" ht="13.5">
      <c r="A34" s="22"/>
      <c r="B34" s="25"/>
      <c r="C34" s="25"/>
      <c r="D34" s="25"/>
      <c r="E34" s="25"/>
      <c r="F34" s="22">
        <f t="shared" si="2"/>
        <v>0</v>
      </c>
    </row>
    <row r="35" spans="1:6" ht="13.5">
      <c r="A35" s="22"/>
      <c r="B35" s="25"/>
      <c r="C35" s="25"/>
      <c r="D35" s="25"/>
      <c r="E35" s="25"/>
      <c r="F35" s="22">
        <f t="shared" si="2"/>
        <v>0</v>
      </c>
    </row>
    <row r="36" spans="1:6" ht="13.5">
      <c r="A36" s="22"/>
      <c r="B36" s="25"/>
      <c r="C36" s="25"/>
      <c r="D36" s="25"/>
      <c r="E36" s="25"/>
      <c r="F36" s="22">
        <f t="shared" si="2"/>
        <v>0</v>
      </c>
    </row>
    <row r="37" spans="1:6" ht="13.5">
      <c r="A37" s="22"/>
      <c r="B37" s="25"/>
      <c r="C37" s="25"/>
      <c r="D37" s="25"/>
      <c r="E37" s="25"/>
      <c r="F37" s="22">
        <f t="shared" si="2"/>
        <v>0</v>
      </c>
    </row>
    <row r="38" spans="1:6" ht="13.5">
      <c r="A38" s="22"/>
      <c r="B38" s="25"/>
      <c r="C38" s="25"/>
      <c r="D38" s="25"/>
      <c r="E38" s="25"/>
      <c r="F38" s="22">
        <f t="shared" si="2"/>
        <v>0</v>
      </c>
    </row>
    <row r="39" spans="1:6" ht="13.5">
      <c r="A39" s="21"/>
      <c r="B39" s="25"/>
      <c r="C39" s="25"/>
      <c r="D39" s="25"/>
      <c r="E39" s="25"/>
      <c r="F39" s="22"/>
    </row>
    <row r="40" spans="1:6" ht="15" thickBot="1">
      <c r="A40" s="127" t="s">
        <v>118</v>
      </c>
      <c r="B40" s="154"/>
      <c r="C40" s="154"/>
      <c r="D40" s="154"/>
      <c r="E40" s="154"/>
      <c r="F40" s="127" t="str">
        <f aca="true" t="shared" si="3" ref="F40:F48">A40</f>
        <v>Memorials</v>
      </c>
    </row>
    <row r="41" spans="1:6" ht="13.5">
      <c r="A41" s="22"/>
      <c r="B41" s="25"/>
      <c r="C41" s="25"/>
      <c r="D41" s="25"/>
      <c r="E41" s="25"/>
      <c r="F41" s="22">
        <f t="shared" si="3"/>
        <v>0</v>
      </c>
    </row>
    <row r="42" spans="1:6" ht="13.5">
      <c r="A42" s="22"/>
      <c r="B42" s="25"/>
      <c r="C42" s="25"/>
      <c r="D42" s="25"/>
      <c r="E42" s="25"/>
      <c r="F42" s="22">
        <f t="shared" si="3"/>
        <v>0</v>
      </c>
    </row>
    <row r="43" spans="1:6" ht="13.5">
      <c r="A43" s="22"/>
      <c r="B43" s="25"/>
      <c r="C43" s="25"/>
      <c r="D43" s="25"/>
      <c r="E43" s="25"/>
      <c r="F43" s="22">
        <f t="shared" si="3"/>
        <v>0</v>
      </c>
    </row>
    <row r="44" spans="1:6" ht="13.5">
      <c r="A44" s="40"/>
      <c r="B44" s="25"/>
      <c r="C44" s="25"/>
      <c r="D44" s="25"/>
      <c r="E44" s="25"/>
      <c r="F44" s="22">
        <f t="shared" si="3"/>
        <v>0</v>
      </c>
    </row>
    <row r="45" spans="1:6" ht="13.5">
      <c r="A45" s="22"/>
      <c r="B45" s="25"/>
      <c r="C45" s="25"/>
      <c r="D45" s="25"/>
      <c r="E45" s="25"/>
      <c r="F45" s="22">
        <f t="shared" si="3"/>
        <v>0</v>
      </c>
    </row>
    <row r="46" spans="1:6" ht="13.5">
      <c r="A46" s="22"/>
      <c r="B46" s="25"/>
      <c r="C46" s="25"/>
      <c r="D46" s="25"/>
      <c r="E46" s="25"/>
      <c r="F46" s="22">
        <f t="shared" si="3"/>
        <v>0</v>
      </c>
    </row>
    <row r="47" spans="1:6" ht="13.5">
      <c r="A47" s="22"/>
      <c r="B47" s="25"/>
      <c r="C47" s="25"/>
      <c r="D47" s="25"/>
      <c r="E47" s="25"/>
      <c r="F47" s="22">
        <f t="shared" si="3"/>
        <v>0</v>
      </c>
    </row>
    <row r="48" spans="1:6" ht="13.5">
      <c r="A48" s="22"/>
      <c r="B48" s="25"/>
      <c r="C48" s="25"/>
      <c r="D48" s="25"/>
      <c r="E48" s="25"/>
      <c r="F48" s="22">
        <f t="shared" si="3"/>
        <v>0</v>
      </c>
    </row>
    <row r="49" spans="1:6" ht="13.5">
      <c r="A49" s="22"/>
      <c r="B49" s="25"/>
      <c r="C49" s="25"/>
      <c r="D49" s="25"/>
      <c r="E49" s="25"/>
      <c r="F49" s="22">
        <f aca="true" t="shared" si="4" ref="F49:F55">A49</f>
        <v>0</v>
      </c>
    </row>
    <row r="50" spans="1:6" ht="13.5">
      <c r="A50" s="22"/>
      <c r="B50" s="25"/>
      <c r="C50" s="25"/>
      <c r="D50" s="25"/>
      <c r="E50" s="25"/>
      <c r="F50" s="22">
        <f t="shared" si="4"/>
        <v>0</v>
      </c>
    </row>
    <row r="51" spans="1:6" ht="13.5">
      <c r="A51" s="22"/>
      <c r="B51" s="25"/>
      <c r="C51" s="25"/>
      <c r="D51" s="25"/>
      <c r="E51" s="25"/>
      <c r="F51" s="22">
        <f t="shared" si="4"/>
        <v>0</v>
      </c>
    </row>
    <row r="52" spans="1:6" ht="13.5">
      <c r="A52" s="22"/>
      <c r="B52" s="25"/>
      <c r="C52" s="25"/>
      <c r="D52" s="25"/>
      <c r="E52" s="25"/>
      <c r="F52" s="22">
        <f t="shared" si="4"/>
        <v>0</v>
      </c>
    </row>
    <row r="53" spans="1:6" ht="13.5">
      <c r="A53" s="22"/>
      <c r="B53" s="25"/>
      <c r="C53" s="25"/>
      <c r="D53" s="25"/>
      <c r="E53" s="25"/>
      <c r="F53" s="22">
        <f t="shared" si="4"/>
        <v>0</v>
      </c>
    </row>
    <row r="54" spans="1:6" ht="13.5">
      <c r="A54" s="22"/>
      <c r="B54" s="25"/>
      <c r="C54" s="25"/>
      <c r="D54" s="25"/>
      <c r="E54" s="25"/>
      <c r="F54" s="174">
        <f t="shared" si="4"/>
        <v>0</v>
      </c>
    </row>
    <row r="55" spans="1:6" ht="13.5">
      <c r="A55" s="22"/>
      <c r="B55" s="25"/>
      <c r="C55" s="25"/>
      <c r="D55" s="25"/>
      <c r="E55" s="25"/>
      <c r="F55" s="174">
        <f t="shared" si="4"/>
        <v>0</v>
      </c>
    </row>
    <row r="56" spans="1:6" ht="13.5">
      <c r="A56" s="22"/>
      <c r="B56" s="25"/>
      <c r="C56" s="25"/>
      <c r="D56" s="25"/>
      <c r="E56" s="25"/>
      <c r="F56" s="174"/>
    </row>
    <row r="57" spans="1:6" ht="13.5">
      <c r="A57" s="22"/>
      <c r="B57" s="25"/>
      <c r="C57" s="25"/>
      <c r="D57" s="25"/>
      <c r="E57" s="25"/>
      <c r="F57" s="174"/>
    </row>
    <row r="58" spans="1:6" ht="13.5">
      <c r="A58" s="22"/>
      <c r="B58" s="25"/>
      <c r="C58" s="25"/>
      <c r="D58" s="25"/>
      <c r="E58" s="25"/>
      <c r="F58" s="174"/>
    </row>
    <row r="59" spans="1:6" ht="13.5">
      <c r="A59" s="22"/>
      <c r="B59" s="25"/>
      <c r="C59" s="25"/>
      <c r="D59" s="25"/>
      <c r="E59" s="25"/>
      <c r="F59" s="174"/>
    </row>
    <row r="60" spans="1:6" ht="13.5">
      <c r="A60" s="22"/>
      <c r="B60" s="25"/>
      <c r="C60" s="25"/>
      <c r="D60" s="25"/>
      <c r="E60" s="25"/>
      <c r="F60" s="174"/>
    </row>
    <row r="61" spans="1:5" ht="13.5">
      <c r="A61" s="22"/>
      <c r="B61" s="25"/>
      <c r="C61" s="25"/>
      <c r="D61" s="25"/>
      <c r="E61" s="25"/>
    </row>
    <row r="62" spans="1:5" ht="13.5">
      <c r="A62" s="22"/>
      <c r="B62" s="25"/>
      <c r="C62" s="25"/>
      <c r="D62" s="25"/>
      <c r="E62" s="25"/>
    </row>
    <row r="63" spans="1:5" ht="13.5">
      <c r="A63" s="22"/>
      <c r="B63" s="25"/>
      <c r="C63" s="25"/>
      <c r="D63" s="25"/>
      <c r="E63" s="25"/>
    </row>
    <row r="64" spans="1:5" ht="13.5">
      <c r="A64" s="22"/>
      <c r="B64" s="25"/>
      <c r="C64" s="25"/>
      <c r="D64" s="25"/>
      <c r="E64" s="25"/>
    </row>
    <row r="65" spans="1:5" ht="13.5">
      <c r="A65" s="22"/>
      <c r="B65" s="25"/>
      <c r="C65" s="25"/>
      <c r="D65" s="25"/>
      <c r="E65" s="25"/>
    </row>
    <row r="66" spans="1:5" ht="13.5">
      <c r="A66" s="22"/>
      <c r="B66" s="25"/>
      <c r="C66" s="25"/>
      <c r="D66" s="25"/>
      <c r="E66" s="25"/>
    </row>
    <row r="67" spans="1:5" ht="13.5">
      <c r="A67" s="22"/>
      <c r="B67" s="25"/>
      <c r="C67" s="25"/>
      <c r="D67" s="25"/>
      <c r="E67" s="25"/>
    </row>
  </sheetData>
  <sheetProtection/>
  <printOptions gridLines="1"/>
  <pageMargins left="0.5" right="0.25" top="0.75" bottom="0.5" header="0.5" footer="0.5"/>
  <pageSetup orientation="portrait" scale="75"/>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A1:N70"/>
  <sheetViews>
    <sheetView zoomScalePageLayoutView="0" workbookViewId="0" topLeftCell="A1">
      <selection activeCell="F23" sqref="F23"/>
    </sheetView>
  </sheetViews>
  <sheetFormatPr defaultColWidth="11.375" defaultRowHeight="12.75"/>
  <cols>
    <col min="1" max="1" width="24.75390625" style="0" customWidth="1"/>
    <col min="2" max="5" width="13.75390625" style="146" customWidth="1"/>
    <col min="6" max="6" width="13.375" style="239" customWidth="1"/>
    <col min="7" max="7" width="23.00390625" style="146" customWidth="1"/>
    <col min="8" max="8" width="24.75390625" style="0" customWidth="1"/>
    <col min="9" max="9" width="20.00390625" style="0" customWidth="1"/>
  </cols>
  <sheetData>
    <row r="1" spans="1:7" ht="13.5">
      <c r="A1" s="122">
        <f ca="1">TODAY()</f>
        <v>42757</v>
      </c>
      <c r="B1" s="123" t="s">
        <v>98</v>
      </c>
      <c r="C1" s="123"/>
      <c r="D1" s="123"/>
      <c r="E1" s="25"/>
      <c r="F1" s="230"/>
      <c r="G1" s="25"/>
    </row>
    <row r="2" spans="1:7" ht="13.5">
      <c r="A2" s="21"/>
      <c r="B2" s="123" t="s">
        <v>99</v>
      </c>
      <c r="C2" s="123"/>
      <c r="D2" s="123"/>
      <c r="E2"/>
      <c r="F2"/>
      <c r="G2"/>
    </row>
    <row r="3" spans="1:7" ht="15" thickBot="1">
      <c r="A3" s="21"/>
      <c r="B3" s="25"/>
      <c r="C3" s="25"/>
      <c r="D3" s="25"/>
      <c r="E3" s="25"/>
      <c r="F3" s="231"/>
      <c r="G3" s="25"/>
    </row>
    <row r="4" spans="2:7" ht="13.5">
      <c r="B4" s="124" t="s">
        <v>100</v>
      </c>
      <c r="C4" s="125" t="s">
        <v>101</v>
      </c>
      <c r="D4" s="126" t="s">
        <v>102</v>
      </c>
      <c r="E4" s="126" t="s">
        <v>103</v>
      </c>
      <c r="G4" s="126"/>
    </row>
    <row r="5" spans="1:7" ht="15" thickBot="1">
      <c r="A5" s="127" t="s">
        <v>104</v>
      </c>
      <c r="B5" s="128" t="s">
        <v>85</v>
      </c>
      <c r="C5" s="281">
        <v>2020</v>
      </c>
      <c r="D5" s="282">
        <v>2019</v>
      </c>
      <c r="E5" s="152" t="s">
        <v>149</v>
      </c>
      <c r="G5" s="129"/>
    </row>
    <row r="6" spans="1:7" ht="13.5">
      <c r="A6" s="134" t="s">
        <v>123</v>
      </c>
      <c r="B6" s="131">
        <v>679</v>
      </c>
      <c r="C6" s="132">
        <f>B6+July!C6</f>
        <v>18665</v>
      </c>
      <c r="D6" s="25">
        <v>11689</v>
      </c>
      <c r="E6" s="25">
        <f aca="true" t="shared" si="0" ref="E6:E13">C6-D6</f>
        <v>6976</v>
      </c>
      <c r="G6" s="25"/>
    </row>
    <row r="7" spans="1:8" ht="13.5">
      <c r="A7" s="133" t="s">
        <v>105</v>
      </c>
      <c r="B7" s="131">
        <f>G20</f>
        <v>100</v>
      </c>
      <c r="C7" s="132">
        <f>B7+July!C7</f>
        <v>980</v>
      </c>
      <c r="D7" s="25">
        <v>1863</v>
      </c>
      <c r="E7" s="25">
        <f t="shared" si="0"/>
        <v>-883</v>
      </c>
      <c r="G7" s="25"/>
      <c r="H7" s="25"/>
    </row>
    <row r="8" spans="1:8" ht="13.5">
      <c r="A8" s="133" t="s">
        <v>92</v>
      </c>
      <c r="B8" s="131">
        <f>G21</f>
        <v>2386</v>
      </c>
      <c r="C8" s="132">
        <f>B8+July!C8</f>
        <v>32406.75</v>
      </c>
      <c r="D8" s="25">
        <v>37109.69</v>
      </c>
      <c r="E8" s="25">
        <f t="shared" si="0"/>
        <v>-4702.940000000002</v>
      </c>
      <c r="G8" s="25"/>
      <c r="H8" s="25"/>
    </row>
    <row r="9" spans="1:8" ht="13.5">
      <c r="A9" s="133" t="s">
        <v>106</v>
      </c>
      <c r="B9" s="131">
        <f>G23</f>
        <v>390</v>
      </c>
      <c r="C9" s="132">
        <f>B9+July!C9</f>
        <v>2219.1800000000003</v>
      </c>
      <c r="D9" s="25">
        <v>3485.66</v>
      </c>
      <c r="E9" s="25">
        <f t="shared" si="0"/>
        <v>-1266.4799999999996</v>
      </c>
      <c r="G9" s="25"/>
      <c r="H9" s="25"/>
    </row>
    <row r="10" spans="1:7" ht="13.5">
      <c r="A10" s="133" t="s">
        <v>107</v>
      </c>
      <c r="B10" s="131">
        <f>G24</f>
        <v>0</v>
      </c>
      <c r="C10" s="132">
        <f>B10+July!C10</f>
        <v>25</v>
      </c>
      <c r="D10" s="25">
        <v>300</v>
      </c>
      <c r="E10" s="25">
        <f t="shared" si="0"/>
        <v>-275</v>
      </c>
      <c r="G10" s="25"/>
    </row>
    <row r="11" spans="1:7" ht="15" thickBot="1">
      <c r="A11" s="134" t="s">
        <v>108</v>
      </c>
      <c r="B11" s="131">
        <f>SUM(B6:B10)</f>
        <v>3555</v>
      </c>
      <c r="C11" s="132">
        <f>B11+July!C11</f>
        <v>54295.93</v>
      </c>
      <c r="D11" s="25">
        <v>53027.36</v>
      </c>
      <c r="E11" s="25">
        <f t="shared" si="0"/>
        <v>1268.5699999999997</v>
      </c>
      <c r="G11" s="25"/>
    </row>
    <row r="12" spans="1:7" ht="15" thickBot="1">
      <c r="A12" s="211" t="s">
        <v>109</v>
      </c>
      <c r="B12" s="212">
        <f>G26</f>
        <v>6142</v>
      </c>
      <c r="C12" s="212">
        <f>B12+July!C12</f>
        <v>55167.75</v>
      </c>
      <c r="D12" s="25">
        <v>59353.86</v>
      </c>
      <c r="E12" s="25">
        <f t="shared" si="0"/>
        <v>-4186.110000000001</v>
      </c>
      <c r="G12" s="25"/>
    </row>
    <row r="13" spans="1:7" ht="13.5">
      <c r="A13" s="22" t="s">
        <v>110</v>
      </c>
      <c r="B13" s="131">
        <v>9106.33</v>
      </c>
      <c r="C13" s="132">
        <f>B13*8</f>
        <v>72850.64</v>
      </c>
      <c r="D13" s="25">
        <v>66800</v>
      </c>
      <c r="E13" s="25">
        <f t="shared" si="0"/>
        <v>6050.639999999999</v>
      </c>
      <c r="G13" s="25"/>
    </row>
    <row r="14" spans="1:7" ht="15" thickBot="1">
      <c r="A14" s="22" t="s">
        <v>122</v>
      </c>
      <c r="B14" s="135">
        <f>B12-B13</f>
        <v>-2964.33</v>
      </c>
      <c r="C14" s="136">
        <f>C12-C13</f>
        <v>-17682.89</v>
      </c>
      <c r="D14" s="25">
        <f>D12-D13</f>
        <v>-7446.139999999999</v>
      </c>
      <c r="E14" s="25"/>
      <c r="G14"/>
    </row>
    <row r="15" spans="1:7" ht="13.5">
      <c r="A15" s="22" t="s">
        <v>112</v>
      </c>
      <c r="B15" s="156">
        <f>B12/B13</f>
        <v>0.6744758865536391</v>
      </c>
      <c r="C15" s="156">
        <f>C12/C13</f>
        <v>0.7572720020030023</v>
      </c>
      <c r="D15" s="156">
        <f>D12/D13</f>
        <v>0.8885308383233533</v>
      </c>
      <c r="E15" s="25"/>
      <c r="G15" s="25"/>
    </row>
    <row r="16" spans="2:14" ht="13.5">
      <c r="B16" s="25"/>
      <c r="C16" s="25"/>
      <c r="D16" s="25"/>
      <c r="E16" s="25"/>
      <c r="G16" s="25"/>
      <c r="H16" s="21"/>
      <c r="I16" s="22"/>
      <c r="J16" s="25"/>
      <c r="K16" s="25"/>
      <c r="L16" s="25"/>
      <c r="M16" s="25"/>
      <c r="N16" s="21"/>
    </row>
    <row r="17" spans="2:13" ht="13.5">
      <c r="B17" s="137" t="s">
        <v>84</v>
      </c>
      <c r="C17" s="137" t="s">
        <v>84</v>
      </c>
      <c r="D17" s="137" t="s">
        <v>84</v>
      </c>
      <c r="E17" s="137" t="s">
        <v>84</v>
      </c>
      <c r="F17" s="137" t="s">
        <v>84</v>
      </c>
      <c r="G17" s="31" t="s">
        <v>113</v>
      </c>
      <c r="H17" s="22"/>
      <c r="I17" s="25"/>
      <c r="J17" s="25"/>
      <c r="K17" s="25"/>
      <c r="L17" s="25"/>
      <c r="M17" s="21"/>
    </row>
    <row r="18" spans="1:13" ht="15" thickBot="1">
      <c r="A18" s="138" t="s">
        <v>114</v>
      </c>
      <c r="B18" s="139">
        <f>'2020 Wkly Log'!AO3</f>
        <v>42583</v>
      </c>
      <c r="C18" s="139">
        <f>'2020 Wkly Log'!AP3</f>
        <v>42590</v>
      </c>
      <c r="D18" s="139">
        <f>'2020 Wkly Log'!AQ3</f>
        <v>42597</v>
      </c>
      <c r="E18" s="139">
        <f>'2020 Wkly Log'!AR3</f>
        <v>42604</v>
      </c>
      <c r="F18" s="139">
        <f>'2020 Wkly Log'!AS3</f>
        <v>42611</v>
      </c>
      <c r="G18" s="151" t="str">
        <f>B5</f>
        <v>August</v>
      </c>
      <c r="H18" s="22"/>
      <c r="I18" s="25"/>
      <c r="J18" s="25"/>
      <c r="K18" s="25"/>
      <c r="L18" s="25"/>
      <c r="M18" s="21"/>
    </row>
    <row r="19" spans="1:13" ht="13.5">
      <c r="A19" s="22"/>
      <c r="B19" s="25"/>
      <c r="C19" s="25"/>
      <c r="D19" s="25"/>
      <c r="E19" s="25"/>
      <c r="F19" s="168"/>
      <c r="G19" s="140"/>
      <c r="H19" s="21"/>
      <c r="I19" s="21"/>
      <c r="J19" s="21"/>
      <c r="K19" s="21"/>
      <c r="L19" s="21"/>
      <c r="M19" s="21"/>
    </row>
    <row r="20" spans="1:7" ht="13.5">
      <c r="A20" s="22" t="s">
        <v>105</v>
      </c>
      <c r="B20" s="176">
        <v>0</v>
      </c>
      <c r="C20" s="290">
        <v>100</v>
      </c>
      <c r="D20" s="176"/>
      <c r="E20" s="176"/>
      <c r="F20" s="230"/>
      <c r="G20" s="141">
        <f aca="true" t="shared" si="1" ref="G20:G26">SUM(B20:E20)</f>
        <v>100</v>
      </c>
    </row>
    <row r="21" spans="1:7" ht="13.5">
      <c r="A21" s="22" t="s">
        <v>115</v>
      </c>
      <c r="B21" s="25">
        <v>450</v>
      </c>
      <c r="C21" s="25">
        <v>430</v>
      </c>
      <c r="D21" s="25">
        <v>251</v>
      </c>
      <c r="E21" s="25">
        <v>1080</v>
      </c>
      <c r="F21" s="230">
        <v>175</v>
      </c>
      <c r="G21" s="141">
        <f>SUM(B21:F21)</f>
        <v>2386</v>
      </c>
    </row>
    <row r="22" spans="1:7" ht="13.5">
      <c r="A22" s="22" t="s">
        <v>116</v>
      </c>
      <c r="B22" s="25">
        <v>679</v>
      </c>
      <c r="C22" s="25">
        <v>1974</v>
      </c>
      <c r="D22" s="25">
        <v>694</v>
      </c>
      <c r="E22" s="25">
        <v>484</v>
      </c>
      <c r="F22" s="230">
        <v>159</v>
      </c>
      <c r="G22" s="141">
        <f>SUM(B22:F22)</f>
        <v>3990</v>
      </c>
    </row>
    <row r="23" spans="1:7" ht="13.5">
      <c r="A23" s="22" t="s">
        <v>117</v>
      </c>
      <c r="B23" s="25">
        <v>240</v>
      </c>
      <c r="C23" s="25">
        <f>SUM(C30:C38)</f>
        <v>0</v>
      </c>
      <c r="D23" s="25">
        <f>SUM(D30:D38)</f>
        <v>0</v>
      </c>
      <c r="E23" s="25">
        <f>SUM(E30:E38)</f>
        <v>150</v>
      </c>
      <c r="F23" s="25">
        <f>SUM(F30:F38)</f>
        <v>0</v>
      </c>
      <c r="G23" s="141">
        <f t="shared" si="1"/>
        <v>390</v>
      </c>
    </row>
    <row r="24" spans="1:7" ht="13.5">
      <c r="A24" s="22" t="s">
        <v>118</v>
      </c>
      <c r="B24" s="25">
        <f>SUM(C41:C64)</f>
        <v>0</v>
      </c>
      <c r="C24" s="25">
        <f>SUM(D41:D64)</f>
        <v>0</v>
      </c>
      <c r="D24" s="25">
        <f>SUM(E41:E64)</f>
        <v>0</v>
      </c>
      <c r="E24" s="25">
        <f>SUM(G41:G64)</f>
        <v>0</v>
      </c>
      <c r="F24" s="25">
        <f>SUM(F41:F53)</f>
        <v>0</v>
      </c>
      <c r="G24" s="141">
        <f t="shared" si="1"/>
        <v>0</v>
      </c>
    </row>
    <row r="25" spans="1:7" ht="15" thickBot="1">
      <c r="A25" s="22" t="s">
        <v>119</v>
      </c>
      <c r="B25" s="25">
        <f>SUM(B20:B24)</f>
        <v>1369</v>
      </c>
      <c r="C25" s="25">
        <f>SUM(C20:C24)</f>
        <v>2504</v>
      </c>
      <c r="D25" s="25">
        <f>SUM(D20:D24)</f>
        <v>945</v>
      </c>
      <c r="E25" s="25">
        <f>SUM(E20:E24)</f>
        <v>1714</v>
      </c>
      <c r="F25" s="230">
        <f>SUM(F20:F24)</f>
        <v>334</v>
      </c>
      <c r="G25" s="141">
        <f t="shared" si="1"/>
        <v>6532</v>
      </c>
    </row>
    <row r="26" spans="1:7" ht="15.75" thickBot="1" thickTop="1">
      <c r="A26" s="213" t="s">
        <v>120</v>
      </c>
      <c r="B26" s="214">
        <f>B25-(B24+B23)</f>
        <v>1129</v>
      </c>
      <c r="C26" s="214">
        <f>C25-(C24+C23)</f>
        <v>2504</v>
      </c>
      <c r="D26" s="214">
        <f>D25-(D24+D23)</f>
        <v>945</v>
      </c>
      <c r="E26" s="214">
        <f>E25-(E24+E23)</f>
        <v>1564</v>
      </c>
      <c r="F26" s="228">
        <f>F25-(F24+F23)</f>
        <v>334</v>
      </c>
      <c r="G26" s="214">
        <f t="shared" si="1"/>
        <v>6142</v>
      </c>
    </row>
    <row r="27" spans="1:7" ht="13.5">
      <c r="A27" s="142" t="s">
        <v>121</v>
      </c>
      <c r="B27" s="143">
        <f>B25-B22</f>
        <v>690</v>
      </c>
      <c r="C27" s="143">
        <f>C25-C22</f>
        <v>530</v>
      </c>
      <c r="D27" s="143">
        <f>D25-D22</f>
        <v>251</v>
      </c>
      <c r="E27" s="143">
        <f>E25-E22</f>
        <v>1230</v>
      </c>
      <c r="F27" s="231">
        <f>F25-F22</f>
        <v>175</v>
      </c>
      <c r="G27" s="141">
        <f>SUM(B27:F27)</f>
        <v>2876</v>
      </c>
    </row>
    <row r="28" spans="1:7"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c r="G28" s="145" t="str">
        <f>IF((G27+G22)&lt;G25,"error",IF((G27+G22)&gt;G25,"error"," "))</f>
        <v>error</v>
      </c>
    </row>
    <row r="29" spans="1:7" ht="15" thickBot="1">
      <c r="A29" s="138" t="s">
        <v>117</v>
      </c>
      <c r="B29" s="154"/>
      <c r="C29" s="154"/>
      <c r="D29" s="154"/>
      <c r="E29" s="154"/>
      <c r="F29" s="154"/>
      <c r="G29" s="127" t="str">
        <f>A29</f>
        <v>Special Offerings/Funds</v>
      </c>
    </row>
    <row r="30" spans="1:7" ht="13.5">
      <c r="A30" s="22" t="s">
        <v>173</v>
      </c>
      <c r="B30" s="240">
        <v>140</v>
      </c>
      <c r="C30" s="25"/>
      <c r="D30" s="25"/>
      <c r="E30" s="25"/>
      <c r="F30" s="25"/>
      <c r="G30" s="287">
        <v>140</v>
      </c>
    </row>
    <row r="31" spans="1:7" ht="13.5">
      <c r="A31" s="22" t="s">
        <v>174</v>
      </c>
      <c r="B31" s="285">
        <v>100</v>
      </c>
      <c r="C31" s="25"/>
      <c r="D31" s="25"/>
      <c r="E31" s="25"/>
      <c r="G31" s="287">
        <v>100</v>
      </c>
    </row>
    <row r="32" spans="1:7" ht="13.5">
      <c r="A32" s="22" t="s">
        <v>175</v>
      </c>
      <c r="B32" s="25"/>
      <c r="C32" s="25"/>
      <c r="D32" s="25"/>
      <c r="E32" s="285">
        <v>150</v>
      </c>
      <c r="G32" s="287">
        <v>150</v>
      </c>
    </row>
    <row r="33" spans="1:7" ht="13.5">
      <c r="A33" s="40"/>
      <c r="B33" s="25"/>
      <c r="C33" s="25"/>
      <c r="D33" s="25"/>
      <c r="E33" s="25"/>
      <c r="G33" s="22">
        <f aca="true" t="shared" si="2" ref="G33:G38">A33</f>
        <v>0</v>
      </c>
    </row>
    <row r="34" spans="1:7" ht="13.5">
      <c r="A34" s="22"/>
      <c r="B34" s="25"/>
      <c r="C34" s="25"/>
      <c r="D34" s="25"/>
      <c r="E34" s="25"/>
      <c r="G34" s="22">
        <f t="shared" si="2"/>
        <v>0</v>
      </c>
    </row>
    <row r="35" spans="1:7" ht="13.5">
      <c r="A35" s="22"/>
      <c r="B35" s="25"/>
      <c r="C35" s="25"/>
      <c r="D35" s="25"/>
      <c r="E35" s="25"/>
      <c r="G35" s="22">
        <f t="shared" si="2"/>
        <v>0</v>
      </c>
    </row>
    <row r="36" spans="1:7" ht="13.5">
      <c r="A36" s="22"/>
      <c r="B36" s="25"/>
      <c r="C36" s="25"/>
      <c r="D36" s="25"/>
      <c r="E36" s="25"/>
      <c r="G36" s="22">
        <f t="shared" si="2"/>
        <v>0</v>
      </c>
    </row>
    <row r="37" spans="1:7" ht="13.5">
      <c r="A37" s="22"/>
      <c r="B37" s="25"/>
      <c r="C37" s="25"/>
      <c r="D37" s="25"/>
      <c r="E37" s="25"/>
      <c r="G37" s="22">
        <f t="shared" si="2"/>
        <v>0</v>
      </c>
    </row>
    <row r="38" spans="1:7" ht="13.5">
      <c r="A38" s="22"/>
      <c r="B38" s="25"/>
      <c r="C38" s="25"/>
      <c r="D38" s="25"/>
      <c r="E38" s="25"/>
      <c r="G38" s="22">
        <f t="shared" si="2"/>
        <v>0</v>
      </c>
    </row>
    <row r="39" spans="1:7" ht="13.5">
      <c r="A39" s="21"/>
      <c r="B39" s="25"/>
      <c r="C39" s="25"/>
      <c r="D39" s="25"/>
      <c r="E39" s="25"/>
      <c r="G39" s="22"/>
    </row>
    <row r="40" spans="1:7" ht="15" thickBot="1">
      <c r="A40" s="127" t="s">
        <v>118</v>
      </c>
      <c r="B40" s="154"/>
      <c r="C40" s="154"/>
      <c r="D40" s="154"/>
      <c r="E40" s="154"/>
      <c r="G40" s="127" t="str">
        <f aca="true" t="shared" si="3" ref="G40:G48">A40</f>
        <v>Memorials</v>
      </c>
    </row>
    <row r="41" spans="1:7" ht="13.5">
      <c r="A41" s="22"/>
      <c r="B41" s="25"/>
      <c r="C41" s="25"/>
      <c r="D41" s="25"/>
      <c r="E41" s="25"/>
      <c r="G41" s="22">
        <f t="shared" si="3"/>
        <v>0</v>
      </c>
    </row>
    <row r="42" spans="1:7" ht="13.5">
      <c r="A42" s="22"/>
      <c r="B42" s="25"/>
      <c r="C42" s="25"/>
      <c r="D42" s="25"/>
      <c r="E42" s="25"/>
      <c r="G42" s="22">
        <f t="shared" si="3"/>
        <v>0</v>
      </c>
    </row>
    <row r="43" spans="1:7" ht="13.5">
      <c r="A43" s="22"/>
      <c r="B43" s="25"/>
      <c r="C43" s="25"/>
      <c r="D43" s="25"/>
      <c r="E43" s="25"/>
      <c r="G43" s="22">
        <f t="shared" si="3"/>
        <v>0</v>
      </c>
    </row>
    <row r="44" spans="1:7" ht="13.5">
      <c r="A44" s="40"/>
      <c r="B44" s="25"/>
      <c r="C44" s="25"/>
      <c r="D44" s="25"/>
      <c r="E44" s="25"/>
      <c r="G44" s="22">
        <f t="shared" si="3"/>
        <v>0</v>
      </c>
    </row>
    <row r="45" spans="1:7" ht="13.5">
      <c r="A45" s="22"/>
      <c r="B45" s="25"/>
      <c r="C45" s="25"/>
      <c r="D45" s="25"/>
      <c r="E45" s="25"/>
      <c r="G45" s="22">
        <f t="shared" si="3"/>
        <v>0</v>
      </c>
    </row>
    <row r="46" spans="1:7" ht="13.5">
      <c r="A46" s="22"/>
      <c r="B46" s="25"/>
      <c r="C46" s="25"/>
      <c r="D46" s="25"/>
      <c r="E46" s="25"/>
      <c r="G46" s="22">
        <f t="shared" si="3"/>
        <v>0</v>
      </c>
    </row>
    <row r="47" spans="1:7" ht="13.5">
      <c r="A47" s="22"/>
      <c r="B47" s="25"/>
      <c r="C47" s="25"/>
      <c r="D47" s="25"/>
      <c r="E47" s="25"/>
      <c r="G47" s="22">
        <f t="shared" si="3"/>
        <v>0</v>
      </c>
    </row>
    <row r="48" spans="1:7" ht="13.5">
      <c r="A48" s="22"/>
      <c r="B48" s="25"/>
      <c r="C48" s="25"/>
      <c r="D48" s="25"/>
      <c r="E48" s="25"/>
      <c r="G48" s="22">
        <f t="shared" si="3"/>
        <v>0</v>
      </c>
    </row>
    <row r="49" spans="1:7" ht="13.5">
      <c r="A49" s="22"/>
      <c r="B49" s="25"/>
      <c r="C49" s="25"/>
      <c r="D49" s="25"/>
      <c r="E49" s="25"/>
      <c r="G49" s="22">
        <f>A49</f>
        <v>0</v>
      </c>
    </row>
    <row r="50" spans="1:7" ht="13.5">
      <c r="A50" s="22"/>
      <c r="B50" s="25"/>
      <c r="C50" s="25"/>
      <c r="D50" s="25"/>
      <c r="E50" s="25"/>
      <c r="G50" s="22">
        <f>A50</f>
        <v>0</v>
      </c>
    </row>
    <row r="51" spans="1:7" ht="13.5">
      <c r="A51" s="22"/>
      <c r="B51" s="25"/>
      <c r="C51" s="25"/>
      <c r="D51" s="25"/>
      <c r="E51" s="25"/>
      <c r="G51" s="22">
        <f>A51</f>
        <v>0</v>
      </c>
    </row>
    <row r="52" spans="1:7" ht="13.5">
      <c r="A52" s="22"/>
      <c r="B52" s="25"/>
      <c r="C52" s="25"/>
      <c r="D52" s="25"/>
      <c r="E52" s="25"/>
      <c r="G52" s="22">
        <f>A52</f>
        <v>0</v>
      </c>
    </row>
    <row r="53" spans="1:7" ht="13.5">
      <c r="A53" s="22"/>
      <c r="B53" s="25"/>
      <c r="C53" s="25"/>
      <c r="D53" s="25"/>
      <c r="E53" s="25"/>
      <c r="G53" s="22">
        <f>A53</f>
        <v>0</v>
      </c>
    </row>
    <row r="54" spans="1:7" ht="13.5">
      <c r="A54" s="40"/>
      <c r="B54" s="25"/>
      <c r="C54" s="25"/>
      <c r="D54" s="25"/>
      <c r="E54" s="25"/>
      <c r="G54" s="22"/>
    </row>
    <row r="55" spans="1:7" ht="13.5">
      <c r="A55" s="22"/>
      <c r="B55" s="25"/>
      <c r="C55" s="25"/>
      <c r="D55" s="25"/>
      <c r="E55" s="25"/>
      <c r="G55" s="22"/>
    </row>
    <row r="56" spans="1:7" ht="13.5">
      <c r="A56" s="22"/>
      <c r="B56" s="25"/>
      <c r="C56" s="25"/>
      <c r="D56" s="25"/>
      <c r="E56" s="25"/>
      <c r="G56" s="22"/>
    </row>
    <row r="57" spans="1:7" ht="13.5">
      <c r="A57" s="22"/>
      <c r="B57" s="25"/>
      <c r="C57" s="25"/>
      <c r="D57" s="25"/>
      <c r="E57" s="25"/>
      <c r="G57" s="22"/>
    </row>
    <row r="58" spans="1:7" ht="13.5">
      <c r="A58" s="22"/>
      <c r="B58" s="25"/>
      <c r="C58" s="25"/>
      <c r="D58" s="25"/>
      <c r="E58" s="25"/>
      <c r="G58" s="22"/>
    </row>
    <row r="59" spans="1:8" ht="13.5">
      <c r="A59" s="22"/>
      <c r="B59" s="25"/>
      <c r="C59" s="25"/>
      <c r="D59" s="25"/>
      <c r="E59" s="25"/>
      <c r="G59" s="25"/>
      <c r="H59" s="22"/>
    </row>
    <row r="60" spans="1:8" ht="13.5">
      <c r="A60" s="22"/>
      <c r="B60" s="25"/>
      <c r="C60" s="25"/>
      <c r="D60" s="25"/>
      <c r="E60" s="25"/>
      <c r="G60" s="25"/>
      <c r="H60" s="22"/>
    </row>
    <row r="61" spans="1:8" ht="13.5">
      <c r="A61" s="22"/>
      <c r="B61" s="25"/>
      <c r="C61" s="25"/>
      <c r="D61" s="25"/>
      <c r="E61" s="25"/>
      <c r="F61" s="230"/>
      <c r="G61" s="25"/>
      <c r="H61" s="22"/>
    </row>
    <row r="62" spans="1:8" ht="13.5">
      <c r="A62" s="22"/>
      <c r="B62" s="25"/>
      <c r="C62" s="25"/>
      <c r="D62" s="25"/>
      <c r="E62" s="25"/>
      <c r="F62" s="230"/>
      <c r="G62" s="25"/>
      <c r="H62" s="22"/>
    </row>
    <row r="63" spans="1:8" ht="13.5">
      <c r="A63" s="22"/>
      <c r="B63" s="25"/>
      <c r="C63" s="25"/>
      <c r="D63" s="25"/>
      <c r="E63" s="25"/>
      <c r="F63" s="230"/>
      <c r="G63" s="25"/>
      <c r="H63" s="22"/>
    </row>
    <row r="64" spans="1:8" ht="13.5">
      <c r="A64" s="22"/>
      <c r="B64" s="25"/>
      <c r="C64" s="25"/>
      <c r="D64" s="25"/>
      <c r="E64" s="25"/>
      <c r="F64" s="230"/>
      <c r="G64" s="25"/>
      <c r="H64" s="22"/>
    </row>
    <row r="65" spans="1:8" ht="13.5">
      <c r="A65" s="22"/>
      <c r="B65" s="25"/>
      <c r="C65" s="25"/>
      <c r="D65" s="25"/>
      <c r="E65" s="25"/>
      <c r="F65" s="230"/>
      <c r="G65" s="25"/>
      <c r="H65" s="21"/>
    </row>
    <row r="66" spans="6:8" ht="13.5">
      <c r="F66" s="230"/>
      <c r="H66" s="21"/>
    </row>
    <row r="67" ht="13.5">
      <c r="H67" s="21"/>
    </row>
    <row r="68" ht="13.5">
      <c r="H68" s="21"/>
    </row>
    <row r="69" ht="13.5">
      <c r="H69" s="21"/>
    </row>
    <row r="70" ht="13.5">
      <c r="H70" s="21"/>
    </row>
  </sheetData>
  <sheetProtection/>
  <printOptions gridLines="1"/>
  <pageMargins left="0" right="0" top="0.75" bottom="0.75" header="0.3" footer="0.3"/>
  <pageSetup orientation="portrait" scale="65"/>
  <headerFooter alignWithMargins="0">
    <oddHeader>&amp;C&amp;A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selection activeCell="I17" sqref="I17"/>
    </sheetView>
  </sheetViews>
  <sheetFormatPr defaultColWidth="11.375" defaultRowHeight="12.75"/>
  <cols>
    <col min="1" max="1" width="24.75390625" style="0" customWidth="1"/>
    <col min="2" max="5" width="13.75390625" style="146" customWidth="1"/>
    <col min="6" max="6" width="24.75390625" style="0" customWidth="1"/>
    <col min="7" max="7" width="14.00390625" style="0" customWidth="1"/>
  </cols>
  <sheetData>
    <row r="1" spans="1:5" ht="13.5">
      <c r="A1" s="122">
        <f ca="1">TODAY()</f>
        <v>42757</v>
      </c>
      <c r="B1" s="123" t="s">
        <v>98</v>
      </c>
      <c r="C1" s="123"/>
      <c r="D1" s="123"/>
      <c r="E1" s="25"/>
    </row>
    <row r="2" spans="1:5" ht="13.5">
      <c r="A2" s="21"/>
      <c r="B2" s="123" t="s">
        <v>99</v>
      </c>
      <c r="C2" s="123"/>
      <c r="D2" s="123"/>
      <c r="E2"/>
    </row>
    <row r="3" spans="1:5" ht="15" thickBot="1">
      <c r="A3" s="21"/>
      <c r="B3" s="25"/>
      <c r="C3" s="25"/>
      <c r="D3" s="25"/>
      <c r="E3" s="25"/>
    </row>
    <row r="4" spans="2:5" ht="13.5">
      <c r="B4" s="124" t="s">
        <v>100</v>
      </c>
      <c r="C4" s="125" t="s">
        <v>101</v>
      </c>
      <c r="D4" s="126" t="s">
        <v>102</v>
      </c>
      <c r="E4" s="126" t="s">
        <v>103</v>
      </c>
    </row>
    <row r="5" spans="1:5" ht="15" thickBot="1">
      <c r="A5" s="127" t="s">
        <v>104</v>
      </c>
      <c r="B5" s="128" t="s">
        <v>86</v>
      </c>
      <c r="C5" s="281">
        <v>2020</v>
      </c>
      <c r="D5" s="282">
        <v>2019</v>
      </c>
      <c r="E5" s="152" t="s">
        <v>149</v>
      </c>
    </row>
    <row r="6" spans="1:5" ht="13.5">
      <c r="A6" s="134" t="s">
        <v>123</v>
      </c>
      <c r="B6" s="131">
        <f>F22</f>
        <v>4081</v>
      </c>
      <c r="C6" s="132">
        <f>B6+August!C6</f>
        <v>22746</v>
      </c>
      <c r="D6" s="25">
        <v>13484</v>
      </c>
      <c r="E6" s="25">
        <f aca="true" t="shared" si="0" ref="E6:E13">C6-D6</f>
        <v>9262</v>
      </c>
    </row>
    <row r="7" spans="1:7" ht="13.5">
      <c r="A7" s="133" t="s">
        <v>105</v>
      </c>
      <c r="B7" s="131">
        <f>F20</f>
        <v>90</v>
      </c>
      <c r="C7" s="132">
        <f>B7+August!C7</f>
        <v>1070</v>
      </c>
      <c r="D7" s="25">
        <v>3033.01</v>
      </c>
      <c r="E7" s="25">
        <f t="shared" si="0"/>
        <v>-1963.0100000000002</v>
      </c>
      <c r="F7" s="99"/>
      <c r="G7" s="25"/>
    </row>
    <row r="8" spans="1:7" ht="13.5">
      <c r="A8" s="133" t="s">
        <v>92</v>
      </c>
      <c r="B8" s="131">
        <f>F21</f>
        <v>2506</v>
      </c>
      <c r="C8" s="132">
        <f>B8+August!C8</f>
        <v>34912.75</v>
      </c>
      <c r="D8" s="25">
        <v>41665.69</v>
      </c>
      <c r="E8" s="25">
        <f t="shared" si="0"/>
        <v>-6752.940000000002</v>
      </c>
      <c r="F8" s="167"/>
      <c r="G8" s="25"/>
    </row>
    <row r="9" spans="1:7" ht="13.5">
      <c r="A9" s="133" t="s">
        <v>106</v>
      </c>
      <c r="B9" s="131">
        <f>F23</f>
        <v>698</v>
      </c>
      <c r="C9" s="132">
        <f>B9+August!C9</f>
        <v>2917.1800000000003</v>
      </c>
      <c r="D9" s="25">
        <v>3911.66</v>
      </c>
      <c r="E9" s="25">
        <f t="shared" si="0"/>
        <v>-994.4799999999996</v>
      </c>
      <c r="F9" s="99"/>
      <c r="G9" s="25"/>
    </row>
    <row r="10" spans="1:5" ht="13.5">
      <c r="A10" s="133" t="s">
        <v>107</v>
      </c>
      <c r="B10" s="131">
        <f>F24</f>
        <v>0</v>
      </c>
      <c r="C10" s="132">
        <f>B10+August!C10</f>
        <v>25</v>
      </c>
      <c r="D10" s="25">
        <v>300</v>
      </c>
      <c r="E10" s="25">
        <f t="shared" si="0"/>
        <v>-275</v>
      </c>
    </row>
    <row r="11" spans="1:5" ht="15" thickBot="1">
      <c r="A11" s="134" t="s">
        <v>108</v>
      </c>
      <c r="B11" s="131">
        <f>SUM(B6:B10)</f>
        <v>7375</v>
      </c>
      <c r="C11" s="132">
        <f>B11+August!C11</f>
        <v>61670.93</v>
      </c>
      <c r="D11" s="25">
        <v>60974.36</v>
      </c>
      <c r="E11" s="25">
        <f t="shared" si="0"/>
        <v>696.5699999999997</v>
      </c>
    </row>
    <row r="12" spans="1:5" ht="15" thickBot="1">
      <c r="A12" s="193" t="s">
        <v>109</v>
      </c>
      <c r="B12" s="194">
        <f>F26</f>
        <v>6677</v>
      </c>
      <c r="C12" s="195">
        <f>B12+August!C12</f>
        <v>61844.75</v>
      </c>
      <c r="D12" s="25">
        <v>66874.86</v>
      </c>
      <c r="E12" s="25">
        <f t="shared" si="0"/>
        <v>-5030.110000000001</v>
      </c>
    </row>
    <row r="13" spans="1:5" ht="13.5">
      <c r="A13" s="22" t="s">
        <v>110</v>
      </c>
      <c r="B13" s="131">
        <v>9106.33</v>
      </c>
      <c r="C13" s="132">
        <f>B13*9</f>
        <v>81956.97</v>
      </c>
      <c r="D13" s="25">
        <v>75150</v>
      </c>
      <c r="E13" s="25">
        <f t="shared" si="0"/>
        <v>6806.970000000001</v>
      </c>
    </row>
    <row r="14" spans="1:5" ht="15" thickBot="1">
      <c r="A14" s="22" t="s">
        <v>122</v>
      </c>
      <c r="B14" s="135">
        <f>B12-B13</f>
        <v>-2429.33</v>
      </c>
      <c r="C14" s="136">
        <f>C12-C13</f>
        <v>-20112.22</v>
      </c>
      <c r="D14" s="25">
        <f>D12-D13</f>
        <v>-8275.14</v>
      </c>
      <c r="E14" s="25"/>
    </row>
    <row r="15" spans="1:5" ht="13.5">
      <c r="A15" s="22" t="s">
        <v>112</v>
      </c>
      <c r="B15" s="156">
        <f>B12/B13</f>
        <v>0.7332262283488519</v>
      </c>
      <c r="C15" s="156">
        <f>C12/C13</f>
        <v>0.7546002493747633</v>
      </c>
      <c r="D15" s="156">
        <f>D12/D13</f>
        <v>0.8898850299401198</v>
      </c>
      <c r="E15" s="25"/>
    </row>
    <row r="16" spans="2:12" ht="13.5">
      <c r="B16" s="25"/>
      <c r="C16" s="25"/>
      <c r="D16" s="25"/>
      <c r="E16" s="25"/>
      <c r="F16" s="21"/>
      <c r="G16" s="22"/>
      <c r="H16" s="25"/>
      <c r="I16" s="25"/>
      <c r="J16" s="25"/>
      <c r="K16" s="25"/>
      <c r="L16" s="21"/>
    </row>
    <row r="17" spans="2:12" ht="13.5">
      <c r="B17" s="137" t="s">
        <v>84</v>
      </c>
      <c r="C17" s="137" t="s">
        <v>84</v>
      </c>
      <c r="D17" s="137" t="s">
        <v>84</v>
      </c>
      <c r="E17" s="137" t="s">
        <v>84</v>
      </c>
      <c r="F17" s="31" t="s">
        <v>113</v>
      </c>
      <c r="G17" s="31"/>
      <c r="H17" s="25"/>
      <c r="I17" s="25"/>
      <c r="J17" s="25"/>
      <c r="K17" s="25"/>
      <c r="L17" s="21"/>
    </row>
    <row r="18" spans="1:12" ht="15" thickBot="1">
      <c r="A18" s="138" t="s">
        <v>114</v>
      </c>
      <c r="B18" s="139">
        <f>'2020 Wkly Log'!AU3</f>
        <v>42618</v>
      </c>
      <c r="C18" s="139">
        <f>'2020 Wkly Log'!AV3</f>
        <v>42625</v>
      </c>
      <c r="D18" s="139">
        <f>'2020 Wkly Log'!AW3</f>
        <v>42632</v>
      </c>
      <c r="E18" s="139">
        <f>'2020 Wkly Log'!AX3</f>
        <v>42639</v>
      </c>
      <c r="F18" s="151" t="str">
        <f>B5</f>
        <v>September</v>
      </c>
      <c r="G18" s="179"/>
      <c r="H18" s="25"/>
      <c r="I18" s="25"/>
      <c r="J18" s="25"/>
      <c r="K18" s="25"/>
      <c r="L18" s="21"/>
    </row>
    <row r="19" spans="1:12" ht="13.5">
      <c r="A19" s="22"/>
      <c r="B19" s="25"/>
      <c r="C19" s="25"/>
      <c r="D19" s="25"/>
      <c r="E19" s="25"/>
      <c r="F19" s="140"/>
      <c r="G19" s="140"/>
      <c r="H19" s="21"/>
      <c r="I19" s="21"/>
      <c r="J19" s="21"/>
      <c r="K19" s="21"/>
      <c r="L19" s="21"/>
    </row>
    <row r="20" spans="1:7" ht="13.5">
      <c r="A20" s="22" t="s">
        <v>105</v>
      </c>
      <c r="B20" s="25">
        <v>0</v>
      </c>
      <c r="C20" s="25"/>
      <c r="D20" s="25">
        <v>50</v>
      </c>
      <c r="E20" s="25">
        <v>40</v>
      </c>
      <c r="F20" s="141">
        <f aca="true" t="shared" si="1" ref="F20:F27">SUM(B20:E20)</f>
        <v>90</v>
      </c>
      <c r="G20" s="141"/>
    </row>
    <row r="21" spans="1:7" ht="13.5">
      <c r="A21" s="22" t="s">
        <v>115</v>
      </c>
      <c r="B21" s="25">
        <v>400</v>
      </c>
      <c r="C21" s="25">
        <v>920</v>
      </c>
      <c r="D21" s="25">
        <v>856</v>
      </c>
      <c r="E21" s="25">
        <v>330</v>
      </c>
      <c r="F21" s="141">
        <f t="shared" si="1"/>
        <v>2506</v>
      </c>
      <c r="G21" s="141"/>
    </row>
    <row r="22" spans="1:7" ht="13.5">
      <c r="A22" s="22" t="s">
        <v>116</v>
      </c>
      <c r="B22" s="25">
        <v>929</v>
      </c>
      <c r="C22" s="25">
        <v>1974</v>
      </c>
      <c r="D22" s="25">
        <v>694</v>
      </c>
      <c r="E22" s="25">
        <v>484</v>
      </c>
      <c r="F22" s="141">
        <f t="shared" si="1"/>
        <v>4081</v>
      </c>
      <c r="G22" s="141"/>
    </row>
    <row r="23" spans="1:7" ht="13.5">
      <c r="A23" s="22" t="s">
        <v>117</v>
      </c>
      <c r="B23" s="25">
        <v>104</v>
      </c>
      <c r="C23" s="25">
        <v>12</v>
      </c>
      <c r="D23" s="25">
        <v>438</v>
      </c>
      <c r="E23" s="25">
        <v>144</v>
      </c>
      <c r="F23" s="141">
        <f t="shared" si="1"/>
        <v>698</v>
      </c>
      <c r="G23" s="141"/>
    </row>
    <row r="24" spans="1:7" ht="13.5">
      <c r="A24" s="22" t="s">
        <v>118</v>
      </c>
      <c r="B24" s="25">
        <f>SUM(B41:B64)</f>
        <v>0</v>
      </c>
      <c r="C24" s="25">
        <f>SUM(C41:C64)</f>
        <v>0</v>
      </c>
      <c r="D24" s="25">
        <f>SUM(D41:D64)</f>
        <v>0</v>
      </c>
      <c r="E24" s="25">
        <f>SUM(E41:E64)</f>
        <v>0</v>
      </c>
      <c r="F24" s="141">
        <f t="shared" si="1"/>
        <v>0</v>
      </c>
      <c r="G24" s="141"/>
    </row>
    <row r="25" spans="1:7" ht="15" thickBot="1">
      <c r="A25" s="22" t="s">
        <v>119</v>
      </c>
      <c r="B25" s="25">
        <f>SUM(B20:B24)</f>
        <v>1433</v>
      </c>
      <c r="C25" s="25">
        <f>SUM(C20:C24)</f>
        <v>2906</v>
      </c>
      <c r="D25" s="25">
        <f>SUM(D20:D24)</f>
        <v>2038</v>
      </c>
      <c r="E25" s="25">
        <f>SUM(E20:E24)</f>
        <v>998</v>
      </c>
      <c r="F25" s="141">
        <f t="shared" si="1"/>
        <v>7375</v>
      </c>
      <c r="G25" s="141"/>
    </row>
    <row r="26" spans="1:7" ht="15" thickBot="1">
      <c r="A26" s="196" t="s">
        <v>120</v>
      </c>
      <c r="B26" s="197">
        <f>B25-(B24+B23)</f>
        <v>1329</v>
      </c>
      <c r="C26" s="197">
        <f>C25-(C24+C23)</f>
        <v>2894</v>
      </c>
      <c r="D26" s="197">
        <f>D25-(D24+D23)</f>
        <v>1600</v>
      </c>
      <c r="E26" s="197">
        <f>E25-(E24+E23)</f>
        <v>854</v>
      </c>
      <c r="F26" s="198">
        <f t="shared" si="1"/>
        <v>6677</v>
      </c>
      <c r="G26" s="180"/>
    </row>
    <row r="27" spans="1:7" ht="13.5">
      <c r="A27" s="142" t="s">
        <v>121</v>
      </c>
      <c r="B27" s="143">
        <f>B25-B22</f>
        <v>504</v>
      </c>
      <c r="C27" s="143">
        <f>C25-C22</f>
        <v>932</v>
      </c>
      <c r="D27" s="143">
        <f>D25-D22</f>
        <v>1344</v>
      </c>
      <c r="E27" s="143">
        <f>E25-E22</f>
        <v>514</v>
      </c>
      <c r="F27" s="141">
        <f t="shared" si="1"/>
        <v>3294</v>
      </c>
      <c r="G27" s="144"/>
    </row>
    <row r="28" spans="1:6" ht="13.5">
      <c r="A28" s="142"/>
      <c r="B28" s="145" t="str">
        <f>IF((B27+B22)&lt;B25,"error",IF((B27+B22)&gt;B25,"error"," "))</f>
        <v> </v>
      </c>
      <c r="C28" s="145" t="str">
        <f>IF((C27+C22)&lt;C25,"error",IF((C27+C22)&gt;C25,"error"," "))</f>
        <v> </v>
      </c>
      <c r="D28" s="145"/>
      <c r="E28" s="145" t="str">
        <f>IF((E27+E22)&lt;E25,"error",IF((E27+E22)&gt;E25,"error"," "))</f>
        <v> </v>
      </c>
      <c r="F28" s="145" t="str">
        <f>IF((F27+F22)&lt;F25,"error",IF((F27+F22)&gt;F25,"error"," "))</f>
        <v> </v>
      </c>
    </row>
    <row r="29" spans="1:6" ht="15" thickBot="1">
      <c r="A29" s="138" t="s">
        <v>117</v>
      </c>
      <c r="B29" s="154"/>
      <c r="C29" s="154"/>
      <c r="D29" s="154"/>
      <c r="E29" s="154"/>
      <c r="F29" s="127" t="str">
        <f aca="true" t="shared" si="2" ref="F29:F38">A29</f>
        <v>Special Offerings/Funds</v>
      </c>
    </row>
    <row r="30" spans="1:6" ht="13.5">
      <c r="A30" s="22" t="s">
        <v>176</v>
      </c>
      <c r="B30" t="s">
        <v>177</v>
      </c>
      <c r="C30" s="25"/>
      <c r="D30" s="25"/>
      <c r="E30" s="25"/>
      <c r="F30" s="22" t="str">
        <f t="shared" si="2"/>
        <v>Devotion booklets</v>
      </c>
    </row>
    <row r="31" spans="1:6" ht="13.5">
      <c r="A31" s="22" t="s">
        <v>178</v>
      </c>
      <c r="B31" s="25" t="s">
        <v>179</v>
      </c>
      <c r="C31" s="25"/>
      <c r="D31" s="25"/>
      <c r="E31" s="25"/>
      <c r="F31" s="22" t="str">
        <f t="shared" si="2"/>
        <v>Paraments</v>
      </c>
    </row>
    <row r="32" spans="1:6" ht="13.5">
      <c r="A32" s="22" t="s">
        <v>181</v>
      </c>
      <c r="B32" s="25"/>
      <c r="C32" s="25" t="s">
        <v>180</v>
      </c>
      <c r="D32" s="25"/>
      <c r="E32" s="25"/>
      <c r="F32" s="22" t="str">
        <f t="shared" si="2"/>
        <v>Hymnary</v>
      </c>
    </row>
    <row r="33" spans="1:6" ht="13.5">
      <c r="A33" s="40" t="s">
        <v>181</v>
      </c>
      <c r="B33" s="25"/>
      <c r="C33" s="25"/>
      <c r="D33" s="25" t="s">
        <v>182</v>
      </c>
      <c r="E33" s="25" t="s">
        <v>187</v>
      </c>
      <c r="F33" s="22" t="str">
        <f t="shared" si="2"/>
        <v>Hymnary</v>
      </c>
    </row>
    <row r="34" spans="1:6" ht="13.5">
      <c r="A34" s="22" t="s">
        <v>184</v>
      </c>
      <c r="B34" s="25"/>
      <c r="C34" s="25"/>
      <c r="D34" s="25" t="s">
        <v>183</v>
      </c>
      <c r="E34" s="25" t="s">
        <v>188</v>
      </c>
      <c r="F34" s="22" t="str">
        <f t="shared" si="2"/>
        <v>Hymnary </v>
      </c>
    </row>
    <row r="35" spans="1:6" ht="13.5">
      <c r="A35" s="22" t="s">
        <v>185</v>
      </c>
      <c r="B35" s="25"/>
      <c r="C35" s="25"/>
      <c r="D35" s="25" t="s">
        <v>186</v>
      </c>
      <c r="E35" s="25"/>
      <c r="F35" s="22" t="str">
        <f t="shared" si="2"/>
        <v>Altar Guild </v>
      </c>
    </row>
    <row r="36" spans="1:6" ht="13.5">
      <c r="A36" s="22"/>
      <c r="B36" s="25"/>
      <c r="C36" s="25"/>
      <c r="D36" s="25"/>
      <c r="E36" s="25"/>
      <c r="F36" s="22">
        <f t="shared" si="2"/>
        <v>0</v>
      </c>
    </row>
    <row r="37" spans="1:6" ht="13.5">
      <c r="A37" s="22"/>
      <c r="B37" s="25"/>
      <c r="C37" s="25"/>
      <c r="D37" s="25"/>
      <c r="E37" s="25"/>
      <c r="F37" s="22">
        <f t="shared" si="2"/>
        <v>0</v>
      </c>
    </row>
    <row r="38" spans="1:6" ht="13.5">
      <c r="A38" s="22"/>
      <c r="B38" s="25"/>
      <c r="C38" s="25"/>
      <c r="D38" s="25"/>
      <c r="E38" s="25"/>
      <c r="F38" s="22">
        <f t="shared" si="2"/>
        <v>0</v>
      </c>
    </row>
    <row r="39" spans="1:6" ht="13.5">
      <c r="A39" s="21"/>
      <c r="B39" s="25"/>
      <c r="C39" s="25"/>
      <c r="D39" s="25"/>
      <c r="E39" s="25"/>
      <c r="F39" s="22"/>
    </row>
    <row r="40" spans="1:6" ht="15" thickBot="1">
      <c r="A40" s="127" t="s">
        <v>118</v>
      </c>
      <c r="B40" s="154"/>
      <c r="C40" s="154"/>
      <c r="D40" s="154"/>
      <c r="E40" s="154"/>
      <c r="F40" s="127" t="str">
        <f aca="true" t="shared" si="3" ref="F40:F48">A40</f>
        <v>Memorials</v>
      </c>
    </row>
    <row r="41" spans="1:6" ht="13.5">
      <c r="A41" s="22"/>
      <c r="B41" s="25"/>
      <c r="C41" s="25"/>
      <c r="D41" s="25"/>
      <c r="E41" s="25"/>
      <c r="F41" s="22">
        <f t="shared" si="3"/>
        <v>0</v>
      </c>
    </row>
    <row r="42" spans="1:7" ht="13.5">
      <c r="A42" s="22"/>
      <c r="B42" s="25"/>
      <c r="C42" s="25"/>
      <c r="D42" s="25"/>
      <c r="E42" s="25"/>
      <c r="F42" s="22">
        <f t="shared" si="3"/>
        <v>0</v>
      </c>
      <c r="G42" s="163"/>
    </row>
    <row r="43" spans="1:6" ht="13.5">
      <c r="A43" s="22"/>
      <c r="B43" s="25"/>
      <c r="C43" s="25"/>
      <c r="D43" s="25"/>
      <c r="E43" s="25"/>
      <c r="F43" s="22">
        <f t="shared" si="3"/>
        <v>0</v>
      </c>
    </row>
    <row r="44" spans="1:6" ht="13.5">
      <c r="A44" s="40"/>
      <c r="B44" s="25"/>
      <c r="C44" s="25"/>
      <c r="D44" s="25"/>
      <c r="E44" s="25"/>
      <c r="F44" s="22">
        <f t="shared" si="3"/>
        <v>0</v>
      </c>
    </row>
    <row r="45" spans="1:6" ht="13.5">
      <c r="A45" s="22"/>
      <c r="B45" s="25"/>
      <c r="C45" s="25"/>
      <c r="D45" s="25"/>
      <c r="E45" s="25"/>
      <c r="F45" s="22">
        <f t="shared" si="3"/>
        <v>0</v>
      </c>
    </row>
    <row r="46" spans="1:6" ht="13.5">
      <c r="A46" s="22"/>
      <c r="B46" s="25"/>
      <c r="C46" s="25"/>
      <c r="D46" s="25"/>
      <c r="E46" s="25"/>
      <c r="F46" s="22">
        <f t="shared" si="3"/>
        <v>0</v>
      </c>
    </row>
    <row r="47" spans="1:6" ht="13.5">
      <c r="A47" s="22"/>
      <c r="B47" s="25"/>
      <c r="C47" s="25"/>
      <c r="D47" s="25"/>
      <c r="E47" s="25"/>
      <c r="F47" s="22">
        <f t="shared" si="3"/>
        <v>0</v>
      </c>
    </row>
    <row r="48" spans="1:6" ht="13.5">
      <c r="A48" s="22"/>
      <c r="B48" s="25"/>
      <c r="C48" s="25"/>
      <c r="D48" s="25"/>
      <c r="E48" s="25"/>
      <c r="F48" s="22">
        <f t="shared" si="3"/>
        <v>0</v>
      </c>
    </row>
    <row r="49" spans="1:6" ht="13.5">
      <c r="A49" s="22"/>
      <c r="B49" s="25"/>
      <c r="C49" s="25"/>
      <c r="D49" s="25"/>
      <c r="E49" s="25"/>
      <c r="F49" s="22">
        <f>A49</f>
        <v>0</v>
      </c>
    </row>
    <row r="50" spans="1:6" ht="13.5">
      <c r="A50" s="22"/>
      <c r="B50" s="25"/>
      <c r="C50" s="25"/>
      <c r="D50" s="25"/>
      <c r="E50" s="25"/>
      <c r="F50" s="22">
        <f>A50</f>
        <v>0</v>
      </c>
    </row>
    <row r="51" spans="1:6" ht="13.5">
      <c r="A51" s="22"/>
      <c r="B51" s="25"/>
      <c r="C51" s="25"/>
      <c r="D51" s="25"/>
      <c r="E51" s="25"/>
      <c r="F51" s="22">
        <f>A51</f>
        <v>0</v>
      </c>
    </row>
    <row r="52" spans="1:6" ht="13.5">
      <c r="A52" s="22"/>
      <c r="B52" s="25"/>
      <c r="C52" s="25"/>
      <c r="D52" s="25"/>
      <c r="E52" s="25"/>
      <c r="F52" s="22">
        <f>A52</f>
        <v>0</v>
      </c>
    </row>
    <row r="53" spans="1:6" ht="13.5">
      <c r="A53" s="22"/>
      <c r="B53" s="25"/>
      <c r="C53" s="25"/>
      <c r="D53" s="25"/>
      <c r="E53" s="25"/>
      <c r="F53" s="22">
        <f>A53</f>
        <v>0</v>
      </c>
    </row>
    <row r="54" spans="1:6" ht="13.5">
      <c r="A54" s="22"/>
      <c r="B54" s="25"/>
      <c r="C54" s="25"/>
      <c r="D54" s="25"/>
      <c r="E54" s="25"/>
      <c r="F54" s="174"/>
    </row>
    <row r="55" spans="1:6" ht="13.5">
      <c r="A55" s="22"/>
      <c r="B55" s="25"/>
      <c r="C55" s="25"/>
      <c r="D55" s="25"/>
      <c r="E55" s="25"/>
      <c r="F55" s="174"/>
    </row>
    <row r="56" spans="1:6" ht="13.5">
      <c r="A56" s="22"/>
      <c r="B56" s="25"/>
      <c r="C56" s="25"/>
      <c r="D56" s="25"/>
      <c r="E56" s="25"/>
      <c r="F56" s="174"/>
    </row>
    <row r="57" spans="1:6" ht="13.5">
      <c r="A57" s="22"/>
      <c r="B57" s="25"/>
      <c r="C57" s="25"/>
      <c r="D57" s="25"/>
      <c r="E57" s="25"/>
      <c r="F57" s="174"/>
    </row>
    <row r="58" spans="1:6" ht="13.5">
      <c r="A58" s="22"/>
      <c r="B58" s="25"/>
      <c r="C58" s="25"/>
      <c r="D58" s="25"/>
      <c r="E58" s="25"/>
      <c r="F58" s="174"/>
    </row>
    <row r="59" spans="1:6" ht="13.5">
      <c r="A59" s="22"/>
      <c r="B59" s="25"/>
      <c r="C59" s="25"/>
      <c r="D59" s="25"/>
      <c r="E59" s="25"/>
      <c r="F59" s="174"/>
    </row>
    <row r="60" spans="1:6" ht="13.5">
      <c r="A60" s="22"/>
      <c r="B60" s="25"/>
      <c r="C60" s="25"/>
      <c r="D60" s="25"/>
      <c r="E60" s="25"/>
      <c r="F60" s="174"/>
    </row>
    <row r="61" spans="1:6" ht="13.5">
      <c r="A61" s="22"/>
      <c r="B61" s="25"/>
      <c r="C61" s="25"/>
      <c r="D61" s="25"/>
      <c r="E61" s="25"/>
      <c r="F61" s="174"/>
    </row>
    <row r="62" spans="1:6" ht="13.5">
      <c r="A62" s="22"/>
      <c r="B62" s="25"/>
      <c r="C62" s="25"/>
      <c r="D62" s="25"/>
      <c r="E62" s="25"/>
      <c r="F62" s="174"/>
    </row>
    <row r="63" spans="1:6" ht="13.5">
      <c r="A63" s="22"/>
      <c r="B63" s="25"/>
      <c r="C63" s="25"/>
      <c r="D63" s="25"/>
      <c r="E63" s="25"/>
      <c r="F63" s="174"/>
    </row>
    <row r="64" spans="1:6" ht="13.5">
      <c r="A64" s="22"/>
      <c r="B64" s="25"/>
      <c r="C64" s="25"/>
      <c r="D64" s="25"/>
      <c r="E64" s="25"/>
      <c r="F64" s="174"/>
    </row>
    <row r="65" spans="1:6" ht="13.5">
      <c r="A65" s="22"/>
      <c r="B65" s="25"/>
      <c r="C65" s="25"/>
      <c r="D65" s="25"/>
      <c r="E65" s="25"/>
      <c r="F65" s="174"/>
    </row>
    <row r="66" spans="1:6" ht="13.5">
      <c r="A66" s="22"/>
      <c r="B66" s="25"/>
      <c r="C66" s="25"/>
      <c r="D66" s="25"/>
      <c r="E66" s="25"/>
      <c r="F66" s="174"/>
    </row>
    <row r="67" spans="1:6" ht="13.5">
      <c r="A67" s="22"/>
      <c r="B67" s="25"/>
      <c r="C67" s="25"/>
      <c r="D67" s="25"/>
      <c r="E67" s="25"/>
      <c r="F67" s="174"/>
    </row>
    <row r="68" ht="13.5">
      <c r="F68" s="21"/>
    </row>
    <row r="69" ht="13.5">
      <c r="F69" s="21"/>
    </row>
    <row r="70" ht="13.5">
      <c r="F70" s="21"/>
    </row>
    <row r="71" ht="13.5">
      <c r="F71" s="21"/>
    </row>
    <row r="72" ht="13.5">
      <c r="F72" s="21"/>
    </row>
  </sheetData>
  <sheetProtection/>
  <printOptions gridLines="1"/>
  <pageMargins left="0.75" right="0.75" top="0.5" bottom="0.5" header="0.5" footer="0.5"/>
  <pageSetup fitToHeight="1" fitToWidth="1" orientation="portrait" scale="68"/>
  <headerFooter alignWithMargins="0">
    <oddHeader>&amp;C&amp;A</oddHeader>
  </headerFooter>
</worksheet>
</file>

<file path=xl/worksheets/sheet14.xml><?xml version="1.0" encoding="utf-8"?>
<worksheet xmlns="http://schemas.openxmlformats.org/spreadsheetml/2006/main" xmlns:r="http://schemas.openxmlformats.org/officeDocument/2006/relationships">
  <dimension ref="A1:L72"/>
  <sheetViews>
    <sheetView zoomScalePageLayoutView="0" workbookViewId="0" topLeftCell="A1">
      <selection activeCell="I29" sqref="I29"/>
    </sheetView>
  </sheetViews>
  <sheetFormatPr defaultColWidth="11.375" defaultRowHeight="12.75"/>
  <cols>
    <col min="1" max="1" width="24.75390625" style="0" customWidth="1"/>
    <col min="2" max="5" width="13.75390625" style="146" customWidth="1"/>
    <col min="6" max="6" width="24.75390625" style="0" customWidth="1"/>
    <col min="7" max="7" width="13.875" style="0" customWidth="1"/>
  </cols>
  <sheetData>
    <row r="1" spans="1:5" ht="13.5">
      <c r="A1" s="122">
        <f ca="1">TODAY()</f>
        <v>42757</v>
      </c>
      <c r="B1" s="123" t="s">
        <v>98</v>
      </c>
      <c r="C1" s="123"/>
      <c r="D1" s="123"/>
      <c r="E1" s="25"/>
    </row>
    <row r="2" spans="1:5" ht="13.5">
      <c r="A2" s="21"/>
      <c r="B2" s="123" t="s">
        <v>99</v>
      </c>
      <c r="C2" s="123"/>
      <c r="D2" s="123"/>
      <c r="E2"/>
    </row>
    <row r="3" spans="1:5" ht="15" thickBot="1">
      <c r="A3" s="21"/>
      <c r="B3" s="25"/>
      <c r="C3" s="25"/>
      <c r="D3" s="25"/>
      <c r="E3" s="25"/>
    </row>
    <row r="4" spans="2:5" ht="13.5">
      <c r="B4" s="124" t="s">
        <v>100</v>
      </c>
      <c r="C4" s="125" t="s">
        <v>101</v>
      </c>
      <c r="D4" s="126" t="s">
        <v>102</v>
      </c>
      <c r="E4" s="126" t="s">
        <v>103</v>
      </c>
    </row>
    <row r="5" spans="1:5" ht="15" thickBot="1">
      <c r="A5" s="127" t="s">
        <v>104</v>
      </c>
      <c r="B5" s="128" t="s">
        <v>87</v>
      </c>
      <c r="C5" s="281">
        <v>2020</v>
      </c>
      <c r="D5" s="282">
        <v>2019</v>
      </c>
      <c r="E5" s="152" t="s">
        <v>149</v>
      </c>
    </row>
    <row r="6" spans="1:5" ht="13.5">
      <c r="A6" s="134" t="s">
        <v>123</v>
      </c>
      <c r="B6" s="131">
        <f>F22</f>
        <v>4081</v>
      </c>
      <c r="C6" s="132">
        <f>B6+September!C6</f>
        <v>26827</v>
      </c>
      <c r="D6" s="25">
        <v>14820</v>
      </c>
      <c r="E6" s="25">
        <f aca="true" t="shared" si="0" ref="E6:E13">C6-D6</f>
        <v>12007</v>
      </c>
    </row>
    <row r="7" spans="1:6" ht="13.5">
      <c r="A7" s="133" t="s">
        <v>105</v>
      </c>
      <c r="B7" s="131">
        <f>F20</f>
        <v>90</v>
      </c>
      <c r="C7" s="132">
        <f>B7+September!C7</f>
        <v>1160</v>
      </c>
      <c r="D7" s="25">
        <v>3291.01</v>
      </c>
      <c r="E7" s="25">
        <f t="shared" si="0"/>
        <v>-2131.01</v>
      </c>
      <c r="F7" s="25"/>
    </row>
    <row r="8" spans="1:6" ht="13.5">
      <c r="A8" s="133" t="s">
        <v>92</v>
      </c>
      <c r="B8" s="131">
        <f>F21</f>
        <v>1940</v>
      </c>
      <c r="C8" s="132">
        <f>B8+September!C8</f>
        <v>36852.75</v>
      </c>
      <c r="D8" s="25">
        <v>47520.69</v>
      </c>
      <c r="E8" s="25">
        <f t="shared" si="0"/>
        <v>-10667.940000000002</v>
      </c>
      <c r="F8" s="25"/>
    </row>
    <row r="9" spans="1:6" ht="13.5">
      <c r="A9" s="133" t="s">
        <v>106</v>
      </c>
      <c r="B9" s="131">
        <f>F23</f>
        <v>423</v>
      </c>
      <c r="C9" s="132">
        <f>B9+September!C9</f>
        <v>3340.1800000000003</v>
      </c>
      <c r="D9" s="25">
        <v>3991.66</v>
      </c>
      <c r="E9" s="25">
        <f t="shared" si="0"/>
        <v>-651.4799999999996</v>
      </c>
      <c r="F9" s="25"/>
    </row>
    <row r="10" spans="1:5" ht="13.5">
      <c r="A10" s="133" t="s">
        <v>107</v>
      </c>
      <c r="B10" s="131">
        <f>F24</f>
        <v>0</v>
      </c>
      <c r="C10" s="132">
        <f>B10+September!C10</f>
        <v>25</v>
      </c>
      <c r="D10" s="25">
        <v>300</v>
      </c>
      <c r="E10" s="25">
        <f t="shared" si="0"/>
        <v>-275</v>
      </c>
    </row>
    <row r="11" spans="1:5" ht="15" thickBot="1">
      <c r="A11" s="134" t="s">
        <v>108</v>
      </c>
      <c r="B11" s="131">
        <f>SUM(B6:B10)</f>
        <v>6534</v>
      </c>
      <c r="C11" s="132">
        <f>B11+September!C11</f>
        <v>68204.93</v>
      </c>
      <c r="D11" s="25">
        <v>68503.36</v>
      </c>
      <c r="E11" s="25">
        <f t="shared" si="0"/>
        <v>-298.43000000000757</v>
      </c>
    </row>
    <row r="12" spans="1:5" ht="15.75" thickBot="1" thickTop="1">
      <c r="A12" s="215" t="s">
        <v>109</v>
      </c>
      <c r="B12" s="218">
        <f>F26</f>
        <v>6111</v>
      </c>
      <c r="C12" s="216">
        <f>B12+September!C12</f>
        <v>67955.75</v>
      </c>
      <c r="D12" s="25">
        <v>74373.86</v>
      </c>
      <c r="E12" s="25">
        <f t="shared" si="0"/>
        <v>-6418.110000000001</v>
      </c>
    </row>
    <row r="13" spans="1:5" ht="13.5">
      <c r="A13" s="22" t="s">
        <v>110</v>
      </c>
      <c r="B13" s="131">
        <v>9106.33</v>
      </c>
      <c r="C13" s="132">
        <f>B13*10</f>
        <v>91063.3</v>
      </c>
      <c r="D13" s="25">
        <v>83500</v>
      </c>
      <c r="E13" s="25">
        <f t="shared" si="0"/>
        <v>7563.300000000003</v>
      </c>
    </row>
    <row r="14" spans="1:5" ht="15" thickBot="1">
      <c r="A14" s="22" t="s">
        <v>122</v>
      </c>
      <c r="B14" s="135">
        <f>B12-B13</f>
        <v>-2995.33</v>
      </c>
      <c r="C14" s="136">
        <f>C12-C13</f>
        <v>-23107.550000000003</v>
      </c>
      <c r="D14" s="25">
        <f>D12-D13</f>
        <v>-9126.14</v>
      </c>
      <c r="E14" s="25"/>
    </row>
    <row r="15" spans="1:5" ht="13.5">
      <c r="A15" s="22" t="s">
        <v>112</v>
      </c>
      <c r="B15" s="156">
        <f>B12/B13</f>
        <v>0.6710716611412062</v>
      </c>
      <c r="C15" s="156">
        <f>C12/C13</f>
        <v>0.7462473905514077</v>
      </c>
      <c r="D15" s="156">
        <f>D12/D13</f>
        <v>0.8907049101796407</v>
      </c>
      <c r="E15" s="25"/>
    </row>
    <row r="16" spans="2:12" ht="13.5">
      <c r="B16" s="25"/>
      <c r="C16" s="25"/>
      <c r="D16" s="25"/>
      <c r="E16" s="25"/>
      <c r="F16" s="21"/>
      <c r="G16" s="22"/>
      <c r="H16" s="25"/>
      <c r="I16" s="25"/>
      <c r="J16" s="25"/>
      <c r="K16" s="25"/>
      <c r="L16" s="21"/>
    </row>
    <row r="17" spans="2:12" ht="13.5">
      <c r="B17" s="137" t="s">
        <v>84</v>
      </c>
      <c r="C17" s="137" t="s">
        <v>84</v>
      </c>
      <c r="D17" s="137" t="s">
        <v>84</v>
      </c>
      <c r="E17" s="137" t="s">
        <v>84</v>
      </c>
      <c r="F17" s="31" t="s">
        <v>113</v>
      </c>
      <c r="G17" s="22"/>
      <c r="H17" s="25"/>
      <c r="I17" s="25"/>
      <c r="J17" s="25"/>
      <c r="K17" s="25"/>
      <c r="L17" s="21"/>
    </row>
    <row r="18" spans="1:12" ht="15" thickBot="1">
      <c r="A18" s="138" t="s">
        <v>114</v>
      </c>
      <c r="B18" s="139">
        <f>'2020 Wkly Log'!AZ3</f>
        <v>42646</v>
      </c>
      <c r="C18" s="139">
        <f>'2020 Wkly Log'!BA3</f>
        <v>42653</v>
      </c>
      <c r="D18" s="139">
        <f>'2020 Wkly Log'!BB3</f>
        <v>42660</v>
      </c>
      <c r="E18" s="139">
        <f>'2020 Wkly Log'!BC3</f>
        <v>42667</v>
      </c>
      <c r="F18" s="151" t="str">
        <f>B5</f>
        <v>October</v>
      </c>
      <c r="G18" s="22"/>
      <c r="H18" s="25"/>
      <c r="I18" s="25"/>
      <c r="J18" s="25"/>
      <c r="K18" s="25"/>
      <c r="L18" s="21"/>
    </row>
    <row r="19" spans="1:12" ht="13.5">
      <c r="A19" s="22"/>
      <c r="B19" s="25"/>
      <c r="C19" s="25"/>
      <c r="D19" s="25"/>
      <c r="E19" s="25"/>
      <c r="F19" s="140"/>
      <c r="G19" s="21"/>
      <c r="H19" s="21"/>
      <c r="I19" s="21"/>
      <c r="J19" s="21"/>
      <c r="K19" s="21"/>
      <c r="L19" s="21"/>
    </row>
    <row r="20" spans="1:6" ht="13.5">
      <c r="A20" s="22" t="s">
        <v>105</v>
      </c>
      <c r="B20" s="25">
        <v>20</v>
      </c>
      <c r="C20" s="25">
        <v>50</v>
      </c>
      <c r="D20" s="25">
        <v>0</v>
      </c>
      <c r="E20" s="25">
        <v>20</v>
      </c>
      <c r="F20" s="141">
        <f aca="true" t="shared" si="1" ref="F20:F27">SUM(B20:E20)</f>
        <v>90</v>
      </c>
    </row>
    <row r="21" spans="1:6" ht="13.5">
      <c r="A21" s="22" t="s">
        <v>115</v>
      </c>
      <c r="B21" s="25">
        <v>596</v>
      </c>
      <c r="C21" s="25">
        <v>300</v>
      </c>
      <c r="D21" s="25">
        <v>724</v>
      </c>
      <c r="E21" s="25">
        <v>320</v>
      </c>
      <c r="F21" s="141">
        <f t="shared" si="1"/>
        <v>1940</v>
      </c>
    </row>
    <row r="22" spans="1:6" ht="13.5">
      <c r="A22" s="22" t="s">
        <v>116</v>
      </c>
      <c r="B22" s="25">
        <v>929</v>
      </c>
      <c r="C22" s="25">
        <v>1974</v>
      </c>
      <c r="D22" s="25">
        <v>694</v>
      </c>
      <c r="E22" s="25">
        <v>484</v>
      </c>
      <c r="F22" s="141">
        <f t="shared" si="1"/>
        <v>4081</v>
      </c>
    </row>
    <row r="23" spans="1:6" ht="13.5">
      <c r="A23" s="22" t="s">
        <v>117</v>
      </c>
      <c r="B23" s="25">
        <f>SUM(B30:B38)</f>
        <v>0</v>
      </c>
      <c r="C23" s="25">
        <v>323</v>
      </c>
      <c r="D23" s="25">
        <v>100</v>
      </c>
      <c r="E23" s="25">
        <f>SUM(E30:E38)</f>
        <v>0</v>
      </c>
      <c r="F23" s="141">
        <f t="shared" si="1"/>
        <v>423</v>
      </c>
    </row>
    <row r="24" spans="1:6" ht="13.5">
      <c r="A24" s="22" t="s">
        <v>118</v>
      </c>
      <c r="B24" s="25">
        <f>SUM(B41:B64)</f>
        <v>0</v>
      </c>
      <c r="C24" s="25">
        <f>SUM(C41:C64)</f>
        <v>0</v>
      </c>
      <c r="D24" s="25">
        <f>SUM(D41:D64)</f>
        <v>0</v>
      </c>
      <c r="E24" s="25">
        <f>SUM(E41:E64)</f>
        <v>0</v>
      </c>
      <c r="F24" s="141">
        <f t="shared" si="1"/>
        <v>0</v>
      </c>
    </row>
    <row r="25" spans="1:6" ht="15" thickBot="1">
      <c r="A25" s="22" t="s">
        <v>119</v>
      </c>
      <c r="B25" s="25">
        <f>SUM(B20:B24)</f>
        <v>1545</v>
      </c>
      <c r="C25" s="25">
        <f>SUM(C20:C24)</f>
        <v>2647</v>
      </c>
      <c r="D25" s="25">
        <f>SUM(D20:D24)</f>
        <v>1518</v>
      </c>
      <c r="E25" s="25">
        <f>SUM(E20:E24)</f>
        <v>824</v>
      </c>
      <c r="F25" s="141">
        <f t="shared" si="1"/>
        <v>6534</v>
      </c>
    </row>
    <row r="26" spans="1:6" ht="15.75" thickBot="1" thickTop="1">
      <c r="A26" s="217" t="s">
        <v>120</v>
      </c>
      <c r="B26" s="218">
        <f>B25-(B24+B23)</f>
        <v>1545</v>
      </c>
      <c r="C26" s="218">
        <f>C25-(C24+C23)</f>
        <v>2324</v>
      </c>
      <c r="D26" s="218">
        <f>D25-(D24+D23)</f>
        <v>1418</v>
      </c>
      <c r="E26" s="218">
        <f>E25-(E24+E23)</f>
        <v>824</v>
      </c>
      <c r="F26" s="219">
        <f t="shared" si="1"/>
        <v>6111</v>
      </c>
    </row>
    <row r="27" spans="1:6" ht="15" thickTop="1">
      <c r="A27" s="142" t="s">
        <v>121</v>
      </c>
      <c r="B27" s="143">
        <f>B25-B22</f>
        <v>616</v>
      </c>
      <c r="C27" s="143">
        <f>C25-C22</f>
        <v>673</v>
      </c>
      <c r="D27" s="143">
        <f>D25-D22</f>
        <v>824</v>
      </c>
      <c r="E27" s="143">
        <f>E25-E22</f>
        <v>340</v>
      </c>
      <c r="F27" s="144">
        <f t="shared" si="1"/>
        <v>2453</v>
      </c>
    </row>
    <row r="28" spans="1:6"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row>
    <row r="29" spans="1:6" ht="15" thickBot="1">
      <c r="A29" s="138" t="s">
        <v>117</v>
      </c>
      <c r="B29" s="154"/>
      <c r="C29" s="154"/>
      <c r="D29" s="154"/>
      <c r="E29" s="154"/>
      <c r="F29" s="127" t="str">
        <f aca="true" t="shared" si="2" ref="F29:F38">A29</f>
        <v>Special Offerings/Funds</v>
      </c>
    </row>
    <row r="30" spans="1:6" ht="13.5">
      <c r="A30" s="22" t="s">
        <v>181</v>
      </c>
      <c r="B30"/>
      <c r="C30" s="25" t="s">
        <v>189</v>
      </c>
      <c r="D30" s="25" t="s">
        <v>192</v>
      </c>
      <c r="E30" s="25"/>
      <c r="F30" s="22" t="s">
        <v>181</v>
      </c>
    </row>
    <row r="31" spans="1:6" ht="13.5">
      <c r="A31" s="22"/>
      <c r="B31" s="25"/>
      <c r="C31" s="25" t="s">
        <v>191</v>
      </c>
      <c r="D31" s="25"/>
      <c r="E31" s="25"/>
      <c r="F31" s="22">
        <f t="shared" si="2"/>
        <v>0</v>
      </c>
    </row>
    <row r="32" spans="1:6" ht="13.5">
      <c r="A32" s="22" t="s">
        <v>178</v>
      </c>
      <c r="B32" s="25"/>
      <c r="C32" s="25" t="s">
        <v>190</v>
      </c>
      <c r="D32" s="25"/>
      <c r="E32" s="25"/>
      <c r="F32" s="22" t="str">
        <f t="shared" si="2"/>
        <v>Paraments</v>
      </c>
    </row>
    <row r="33" spans="1:6" ht="13.5">
      <c r="A33" s="40"/>
      <c r="B33" s="25"/>
      <c r="C33" s="25"/>
      <c r="D33" s="25"/>
      <c r="E33" s="25"/>
      <c r="F33" s="22">
        <f t="shared" si="2"/>
        <v>0</v>
      </c>
    </row>
    <row r="34" spans="1:6" ht="13.5">
      <c r="A34" s="22"/>
      <c r="B34" s="25"/>
      <c r="C34" s="25"/>
      <c r="D34" s="25"/>
      <c r="E34" s="25"/>
      <c r="F34" s="22">
        <f t="shared" si="2"/>
        <v>0</v>
      </c>
    </row>
    <row r="35" spans="1:6" ht="13.5">
      <c r="A35" s="22"/>
      <c r="B35" s="25"/>
      <c r="C35" s="25"/>
      <c r="D35" s="25"/>
      <c r="E35" s="25"/>
      <c r="F35" s="22">
        <f t="shared" si="2"/>
        <v>0</v>
      </c>
    </row>
    <row r="36" spans="1:6" ht="13.5">
      <c r="A36" s="22"/>
      <c r="B36" s="25"/>
      <c r="C36" s="25"/>
      <c r="D36" s="25"/>
      <c r="E36" s="25"/>
      <c r="F36" s="22">
        <f t="shared" si="2"/>
        <v>0</v>
      </c>
    </row>
    <row r="37" spans="1:6" ht="13.5">
      <c r="A37" s="22"/>
      <c r="B37" s="25"/>
      <c r="C37" s="25"/>
      <c r="D37" s="25"/>
      <c r="E37" s="25"/>
      <c r="F37" s="22">
        <f t="shared" si="2"/>
        <v>0</v>
      </c>
    </row>
    <row r="38" spans="1:6" ht="13.5">
      <c r="A38" s="22"/>
      <c r="B38" s="25"/>
      <c r="C38" s="25"/>
      <c r="D38" s="25"/>
      <c r="E38" s="25"/>
      <c r="F38" s="22">
        <f t="shared" si="2"/>
        <v>0</v>
      </c>
    </row>
    <row r="39" spans="1:6" ht="13.5">
      <c r="A39" s="21"/>
      <c r="B39" s="25"/>
      <c r="C39" s="25"/>
      <c r="D39" s="25"/>
      <c r="E39" s="25"/>
      <c r="F39" s="22"/>
    </row>
    <row r="40" spans="1:6" ht="15" thickBot="1">
      <c r="A40" s="127" t="s">
        <v>118</v>
      </c>
      <c r="B40" s="154"/>
      <c r="C40" s="154"/>
      <c r="D40" s="154"/>
      <c r="E40" s="154"/>
      <c r="F40" s="127" t="str">
        <f aca="true" t="shared" si="3" ref="F40:F48">A40</f>
        <v>Memorials</v>
      </c>
    </row>
    <row r="41" spans="1:6" ht="13.5">
      <c r="A41" s="22"/>
      <c r="B41" s="25"/>
      <c r="C41" s="25"/>
      <c r="D41" s="25"/>
      <c r="E41" s="25"/>
      <c r="F41" s="22">
        <f t="shared" si="3"/>
        <v>0</v>
      </c>
    </row>
    <row r="42" spans="1:6" ht="13.5">
      <c r="A42" s="22"/>
      <c r="B42" s="25"/>
      <c r="C42" s="25"/>
      <c r="D42" s="25"/>
      <c r="E42" s="25"/>
      <c r="F42" s="22">
        <f t="shared" si="3"/>
        <v>0</v>
      </c>
    </row>
    <row r="43" spans="1:6" ht="13.5">
      <c r="A43" s="22"/>
      <c r="B43" s="25"/>
      <c r="C43" s="25"/>
      <c r="D43" s="25"/>
      <c r="E43" s="25"/>
      <c r="F43" s="22">
        <f t="shared" si="3"/>
        <v>0</v>
      </c>
    </row>
    <row r="44" spans="1:6" ht="13.5">
      <c r="A44" s="40"/>
      <c r="B44" s="25"/>
      <c r="C44" s="25"/>
      <c r="D44" s="25"/>
      <c r="E44" s="25"/>
      <c r="F44" s="22">
        <f t="shared" si="3"/>
        <v>0</v>
      </c>
    </row>
    <row r="45" spans="1:6" ht="13.5">
      <c r="A45" s="22"/>
      <c r="B45" s="25"/>
      <c r="C45" s="25"/>
      <c r="D45" s="25"/>
      <c r="E45" s="25"/>
      <c r="F45" s="22">
        <f t="shared" si="3"/>
        <v>0</v>
      </c>
    </row>
    <row r="46" spans="1:6" ht="13.5">
      <c r="A46" s="22"/>
      <c r="B46" s="25"/>
      <c r="C46" s="25"/>
      <c r="D46" s="25"/>
      <c r="E46" s="25"/>
      <c r="F46" s="22">
        <f t="shared" si="3"/>
        <v>0</v>
      </c>
    </row>
    <row r="47" spans="1:6" ht="13.5">
      <c r="A47" s="22"/>
      <c r="B47" s="25"/>
      <c r="C47" s="25"/>
      <c r="D47" s="25"/>
      <c r="E47" s="25"/>
      <c r="F47" s="22">
        <f t="shared" si="3"/>
        <v>0</v>
      </c>
    </row>
    <row r="48" spans="1:6" ht="13.5">
      <c r="A48" s="22"/>
      <c r="B48" s="25"/>
      <c r="C48" s="25"/>
      <c r="D48" s="25"/>
      <c r="E48" s="25"/>
      <c r="F48" s="22">
        <f t="shared" si="3"/>
        <v>0</v>
      </c>
    </row>
    <row r="49" spans="1:6" ht="13.5">
      <c r="A49" s="22"/>
      <c r="B49" s="25"/>
      <c r="C49" s="25"/>
      <c r="D49" s="25"/>
      <c r="E49" s="25"/>
      <c r="F49" s="22">
        <f aca="true" t="shared" si="4" ref="F49:F54">A49</f>
        <v>0</v>
      </c>
    </row>
    <row r="50" spans="1:6" ht="13.5">
      <c r="A50" s="22"/>
      <c r="B50" s="25"/>
      <c r="C50" s="25"/>
      <c r="D50" s="25"/>
      <c r="E50" s="25"/>
      <c r="F50" s="22">
        <f t="shared" si="4"/>
        <v>0</v>
      </c>
    </row>
    <row r="51" spans="1:6" ht="13.5">
      <c r="A51" s="22"/>
      <c r="B51" s="25"/>
      <c r="C51" s="25"/>
      <c r="D51" s="25"/>
      <c r="E51" s="25"/>
      <c r="F51" s="22">
        <f t="shared" si="4"/>
        <v>0</v>
      </c>
    </row>
    <row r="52" spans="1:6" ht="13.5">
      <c r="A52" s="22"/>
      <c r="B52" s="25"/>
      <c r="C52" s="25"/>
      <c r="D52" s="25"/>
      <c r="E52" s="25"/>
      <c r="F52" s="22">
        <f t="shared" si="4"/>
        <v>0</v>
      </c>
    </row>
    <row r="53" spans="1:6" ht="13.5">
      <c r="A53" s="22"/>
      <c r="B53" s="25"/>
      <c r="C53" s="25"/>
      <c r="D53" s="25"/>
      <c r="E53" s="25"/>
      <c r="F53" s="22">
        <f t="shared" si="4"/>
        <v>0</v>
      </c>
    </row>
    <row r="54" spans="1:6" ht="13.5">
      <c r="A54" s="22"/>
      <c r="B54" s="25"/>
      <c r="C54" s="25"/>
      <c r="D54" s="25"/>
      <c r="E54" s="25"/>
      <c r="F54" s="174">
        <f t="shared" si="4"/>
        <v>0</v>
      </c>
    </row>
    <row r="55" spans="1:6" ht="13.5">
      <c r="A55" s="22"/>
      <c r="B55" s="25"/>
      <c r="C55" s="25"/>
      <c r="D55" s="25"/>
      <c r="E55" s="25"/>
      <c r="F55" s="174"/>
    </row>
    <row r="56" spans="1:6" ht="13.5">
      <c r="A56" s="22"/>
      <c r="B56" s="25"/>
      <c r="C56" s="25"/>
      <c r="D56" s="25"/>
      <c r="E56" s="25"/>
      <c r="F56" s="174"/>
    </row>
    <row r="57" spans="1:6" ht="13.5">
      <c r="A57" s="22"/>
      <c r="B57" s="25"/>
      <c r="C57" s="25"/>
      <c r="D57" s="25"/>
      <c r="E57" s="25"/>
      <c r="F57" s="174"/>
    </row>
    <row r="58" spans="1:6" ht="13.5">
      <c r="A58" s="22"/>
      <c r="B58" s="25"/>
      <c r="C58" s="25"/>
      <c r="D58" s="25"/>
      <c r="E58" s="25"/>
      <c r="F58" s="174"/>
    </row>
    <row r="59" spans="1:6" ht="13.5">
      <c r="A59" s="22"/>
      <c r="B59" s="25"/>
      <c r="C59" s="25"/>
      <c r="D59" s="25"/>
      <c r="E59" s="25"/>
      <c r="F59" s="174"/>
    </row>
    <row r="60" spans="1:6" ht="13.5">
      <c r="A60" s="22"/>
      <c r="B60" s="25"/>
      <c r="C60" s="25"/>
      <c r="D60" s="25"/>
      <c r="E60" s="25"/>
      <c r="F60" s="174"/>
    </row>
    <row r="61" spans="1:6" ht="13.5">
      <c r="A61" s="22"/>
      <c r="B61" s="25"/>
      <c r="C61" s="25"/>
      <c r="D61" s="25"/>
      <c r="E61" s="25"/>
      <c r="F61" s="174"/>
    </row>
    <row r="62" spans="1:6" ht="13.5">
      <c r="A62" s="22"/>
      <c r="B62" s="25"/>
      <c r="C62" s="25"/>
      <c r="D62" s="25"/>
      <c r="E62" s="25"/>
      <c r="F62" s="174"/>
    </row>
    <row r="63" spans="1:6" ht="13.5">
      <c r="A63" s="22"/>
      <c r="B63" s="25"/>
      <c r="C63" s="25"/>
      <c r="D63" s="25"/>
      <c r="E63" s="25"/>
      <c r="F63" s="174"/>
    </row>
    <row r="64" spans="1:6" ht="13.5">
      <c r="A64" s="22"/>
      <c r="B64" s="25"/>
      <c r="C64" s="25"/>
      <c r="D64" s="25"/>
      <c r="E64" s="25"/>
      <c r="F64" s="174"/>
    </row>
    <row r="65" spans="1:6" ht="13.5">
      <c r="A65" s="22"/>
      <c r="B65" s="25"/>
      <c r="C65" s="25"/>
      <c r="D65" s="25"/>
      <c r="E65" s="25"/>
      <c r="F65" s="41"/>
    </row>
    <row r="66" spans="1:6" ht="13.5">
      <c r="A66" s="22"/>
      <c r="B66" s="25"/>
      <c r="C66" s="25"/>
      <c r="D66" s="25"/>
      <c r="E66" s="25"/>
      <c r="F66" s="41"/>
    </row>
    <row r="67" spans="1:6" ht="13.5">
      <c r="A67" s="22"/>
      <c r="B67" s="25"/>
      <c r="C67" s="25"/>
      <c r="D67" s="25"/>
      <c r="E67" s="25"/>
      <c r="F67" s="21"/>
    </row>
    <row r="68" ht="13.5">
      <c r="F68" s="21"/>
    </row>
    <row r="69" ht="13.5">
      <c r="F69" s="21"/>
    </row>
    <row r="70" ht="13.5">
      <c r="F70" s="21"/>
    </row>
    <row r="71" ht="13.5">
      <c r="F71" s="21"/>
    </row>
    <row r="72" ht="13.5">
      <c r="F72" s="21"/>
    </row>
  </sheetData>
  <sheetProtection/>
  <printOptions gridLines="1"/>
  <pageMargins left="0.5" right="0.25" top="0.75" bottom="0.5" header="0.5" footer="0.5"/>
  <pageSetup orientation="portrait" scale="65"/>
  <headerFooter alignWithMargins="0">
    <oddHeader>&amp;C&amp;A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H22" sqref="H22"/>
    </sheetView>
  </sheetViews>
  <sheetFormatPr defaultColWidth="11.375" defaultRowHeight="12.75"/>
  <cols>
    <col min="1" max="1" width="24.75390625" style="0" customWidth="1"/>
    <col min="2" max="5" width="13.75390625" style="146" customWidth="1"/>
    <col min="6" max="6" width="13.375" style="239" customWidth="1"/>
    <col min="7" max="7" width="25.875" style="146" customWidth="1"/>
    <col min="8" max="8" width="24.75390625" style="0" customWidth="1"/>
    <col min="9" max="9" width="13.25390625" style="0" customWidth="1"/>
  </cols>
  <sheetData>
    <row r="1" spans="1:7" ht="13.5">
      <c r="A1" s="122">
        <f ca="1">TODAY()</f>
        <v>42757</v>
      </c>
      <c r="B1" s="123" t="s">
        <v>98</v>
      </c>
      <c r="C1" s="123"/>
      <c r="D1" s="123"/>
      <c r="E1" s="25"/>
      <c r="F1" s="230"/>
      <c r="G1" s="25"/>
    </row>
    <row r="2" spans="1:7" ht="13.5">
      <c r="A2" s="21"/>
      <c r="B2" s="123" t="s">
        <v>99</v>
      </c>
      <c r="C2" s="123"/>
      <c r="D2" s="123"/>
      <c r="E2"/>
      <c r="F2"/>
      <c r="G2"/>
    </row>
    <row r="3" spans="1:7" ht="15" thickBot="1">
      <c r="A3" s="21"/>
      <c r="B3" s="25"/>
      <c r="C3" s="25"/>
      <c r="D3" s="25"/>
      <c r="E3" s="25"/>
      <c r="F3" s="231"/>
      <c r="G3" s="25"/>
    </row>
    <row r="4" spans="2:7" ht="13.5">
      <c r="B4" s="124" t="s">
        <v>100</v>
      </c>
      <c r="C4" s="125" t="s">
        <v>101</v>
      </c>
      <c r="D4" s="126" t="s">
        <v>102</v>
      </c>
      <c r="E4" s="126" t="s">
        <v>103</v>
      </c>
      <c r="G4" s="126"/>
    </row>
    <row r="5" spans="1:7" ht="15" thickBot="1">
      <c r="A5" s="127" t="s">
        <v>104</v>
      </c>
      <c r="B5" s="128" t="s">
        <v>88</v>
      </c>
      <c r="C5" s="281">
        <v>2020</v>
      </c>
      <c r="D5" s="282">
        <v>2019</v>
      </c>
      <c r="E5" s="152" t="s">
        <v>149</v>
      </c>
      <c r="G5" s="129"/>
    </row>
    <row r="6" spans="1:7" ht="13.5">
      <c r="A6" s="134" t="s">
        <v>123</v>
      </c>
      <c r="B6" s="131">
        <f>G22</f>
        <v>4240</v>
      </c>
      <c r="C6" s="132">
        <f>B6+October!C6</f>
        <v>31067</v>
      </c>
      <c r="D6" s="25">
        <v>16456</v>
      </c>
      <c r="E6" s="25">
        <f aca="true" t="shared" si="0" ref="E6:E13">C6-D6</f>
        <v>14611</v>
      </c>
      <c r="G6" s="25"/>
    </row>
    <row r="7" spans="1:8" ht="13.5">
      <c r="A7" s="133" t="s">
        <v>105</v>
      </c>
      <c r="B7" s="131">
        <f>G20</f>
        <v>0</v>
      </c>
      <c r="C7" s="132">
        <f>B7+October!C7</f>
        <v>1160</v>
      </c>
      <c r="D7" s="25">
        <v>3387.01</v>
      </c>
      <c r="E7" s="25">
        <f t="shared" si="0"/>
        <v>-2227.01</v>
      </c>
      <c r="G7" s="25"/>
      <c r="H7" s="25"/>
    </row>
    <row r="8" spans="1:8" ht="13.5">
      <c r="A8" s="133" t="s">
        <v>92</v>
      </c>
      <c r="B8" s="131">
        <f>G21</f>
        <v>2723</v>
      </c>
      <c r="C8" s="132">
        <f>B8+October!C8</f>
        <v>39575.75</v>
      </c>
      <c r="D8" s="25">
        <v>51160.69</v>
      </c>
      <c r="E8" s="25">
        <f t="shared" si="0"/>
        <v>-11584.940000000002</v>
      </c>
      <c r="G8" s="25"/>
      <c r="H8" s="25"/>
    </row>
    <row r="9" spans="1:8" ht="13.5">
      <c r="A9" s="133" t="s">
        <v>106</v>
      </c>
      <c r="B9" s="131">
        <f>G23</f>
        <v>1339</v>
      </c>
      <c r="C9" s="132">
        <f>B9+October!C9</f>
        <v>4679.18</v>
      </c>
      <c r="D9" s="25">
        <v>4291.66</v>
      </c>
      <c r="E9" s="25">
        <f t="shared" si="0"/>
        <v>387.52000000000044</v>
      </c>
      <c r="G9" s="25"/>
      <c r="H9" s="25"/>
    </row>
    <row r="10" spans="1:7" ht="13.5">
      <c r="A10" s="133" t="s">
        <v>107</v>
      </c>
      <c r="B10" s="131">
        <f>G24</f>
        <v>0</v>
      </c>
      <c r="C10" s="132">
        <f>B10+October!C10</f>
        <v>25</v>
      </c>
      <c r="D10" s="25">
        <v>300</v>
      </c>
      <c r="E10" s="25">
        <f t="shared" si="0"/>
        <v>-275</v>
      </c>
      <c r="G10" s="25"/>
    </row>
    <row r="11" spans="1:7" ht="15" thickBot="1">
      <c r="A11" s="134" t="s">
        <v>108</v>
      </c>
      <c r="B11" s="131">
        <f>SUM(B6:B10)</f>
        <v>8302</v>
      </c>
      <c r="C11" s="132">
        <f>B11+October!C11</f>
        <v>76506.93</v>
      </c>
      <c r="D11" s="25">
        <v>74175.36</v>
      </c>
      <c r="E11" s="25">
        <f t="shared" si="0"/>
        <v>2331.5699999999924</v>
      </c>
      <c r="G11" s="25"/>
    </row>
    <row r="12" spans="1:7" ht="15" thickBot="1">
      <c r="A12" s="271" t="s">
        <v>109</v>
      </c>
      <c r="B12" s="272">
        <f>G26</f>
        <v>6963</v>
      </c>
      <c r="C12" s="273">
        <f>B12+October!C12</f>
        <v>74918.75</v>
      </c>
      <c r="D12" s="25">
        <v>79745.86</v>
      </c>
      <c r="E12" s="25">
        <f t="shared" si="0"/>
        <v>-4827.110000000001</v>
      </c>
      <c r="G12" s="25"/>
    </row>
    <row r="13" spans="1:8" ht="13.5">
      <c r="A13" s="22" t="s">
        <v>110</v>
      </c>
      <c r="B13" s="131">
        <v>9106.33</v>
      </c>
      <c r="C13" s="132">
        <f>B13*11</f>
        <v>100169.63</v>
      </c>
      <c r="D13" s="25">
        <v>91850</v>
      </c>
      <c r="E13" s="25">
        <f t="shared" si="0"/>
        <v>8319.630000000005</v>
      </c>
      <c r="G13" s="25"/>
      <c r="H13" s="162"/>
    </row>
    <row r="14" spans="1:8" ht="15" thickBot="1">
      <c r="A14" s="22" t="s">
        <v>122</v>
      </c>
      <c r="B14" s="135">
        <f>B12-B13</f>
        <v>-2143.33</v>
      </c>
      <c r="C14" s="136">
        <f>C12-C13</f>
        <v>-25250.880000000005</v>
      </c>
      <c r="D14" s="25">
        <f>D12-D13</f>
        <v>-12104.14</v>
      </c>
      <c r="E14" s="25"/>
      <c r="G14"/>
      <c r="H14" s="162"/>
    </row>
    <row r="15" spans="1:7" ht="13.5">
      <c r="A15" s="22" t="s">
        <v>112</v>
      </c>
      <c r="B15" s="156">
        <f>B12/B13</f>
        <v>0.7646329531216198</v>
      </c>
      <c r="C15" s="156">
        <f>C12/C13</f>
        <v>0.7479188053305178</v>
      </c>
      <c r="D15" s="156">
        <f>D12/D13</f>
        <v>0.8682183995645073</v>
      </c>
      <c r="E15" s="25"/>
      <c r="G15" s="25"/>
    </row>
    <row r="16" spans="2:14" ht="13.5">
      <c r="B16" s="25"/>
      <c r="C16" s="25"/>
      <c r="D16" s="25"/>
      <c r="E16" s="25"/>
      <c r="G16" s="25"/>
      <c r="H16" s="21"/>
      <c r="I16" s="22"/>
      <c r="J16" s="25"/>
      <c r="K16" s="25"/>
      <c r="L16" s="25"/>
      <c r="M16" s="25"/>
      <c r="N16" s="21"/>
    </row>
    <row r="17" spans="2:13" ht="13.5">
      <c r="B17" s="137" t="s">
        <v>84</v>
      </c>
      <c r="C17" s="137" t="s">
        <v>84</v>
      </c>
      <c r="D17" s="137" t="s">
        <v>84</v>
      </c>
      <c r="E17" s="137" t="s">
        <v>84</v>
      </c>
      <c r="F17" s="137" t="s">
        <v>84</v>
      </c>
      <c r="G17" s="31" t="s">
        <v>113</v>
      </c>
      <c r="H17" s="22"/>
      <c r="I17" s="25"/>
      <c r="J17" s="25"/>
      <c r="K17" s="25"/>
      <c r="L17" s="25"/>
      <c r="M17" s="21"/>
    </row>
    <row r="18" spans="1:13" ht="15" thickBot="1">
      <c r="A18" s="138" t="s">
        <v>114</v>
      </c>
      <c r="B18" s="139">
        <f>'2020 Wkly Log'!BE3</f>
        <v>42674</v>
      </c>
      <c r="C18" s="139">
        <f>'2020 Wkly Log'!BF3</f>
        <v>42681</v>
      </c>
      <c r="D18" s="139">
        <f>'2020 Wkly Log'!BG3</f>
        <v>42688</v>
      </c>
      <c r="E18" s="139">
        <f>'2020 Wkly Log'!BH3</f>
        <v>42695</v>
      </c>
      <c r="F18" s="139">
        <f>'2020 Wkly Log'!BI3</f>
        <v>42702</v>
      </c>
      <c r="G18" s="151" t="str">
        <f>B5</f>
        <v>November</v>
      </c>
      <c r="H18" s="22"/>
      <c r="I18" s="25"/>
      <c r="J18" s="25"/>
      <c r="K18" s="25"/>
      <c r="L18" s="25"/>
      <c r="M18" s="21"/>
    </row>
    <row r="19" spans="1:13" ht="13.5">
      <c r="A19" s="22"/>
      <c r="B19" s="25"/>
      <c r="C19" s="25"/>
      <c r="D19" s="25"/>
      <c r="E19" s="25"/>
      <c r="F19" s="168"/>
      <c r="G19" s="140"/>
      <c r="H19" s="21"/>
      <c r="I19" s="21"/>
      <c r="J19" s="21"/>
      <c r="K19" s="21"/>
      <c r="L19" s="21"/>
      <c r="M19" s="21"/>
    </row>
    <row r="20" spans="1:7" ht="13.5">
      <c r="A20" s="22" t="s">
        <v>105</v>
      </c>
      <c r="B20" s="25">
        <v>0</v>
      </c>
      <c r="C20" s="25"/>
      <c r="D20" s="25"/>
      <c r="E20" s="25"/>
      <c r="F20" s="230"/>
      <c r="G20" s="141">
        <f>SUM(B20:F20)</f>
        <v>0</v>
      </c>
    </row>
    <row r="21" spans="1:7" ht="13.5">
      <c r="A21" s="22" t="s">
        <v>115</v>
      </c>
      <c r="B21" s="25">
        <v>386</v>
      </c>
      <c r="C21" s="25">
        <v>821</v>
      </c>
      <c r="D21" s="25">
        <v>441</v>
      </c>
      <c r="E21" s="25">
        <v>270</v>
      </c>
      <c r="F21" s="230">
        <v>805</v>
      </c>
      <c r="G21" s="141">
        <f aca="true" t="shared" si="1" ref="G21:G27">SUM(B21:F21)</f>
        <v>2723</v>
      </c>
    </row>
    <row r="22" spans="1:7" ht="13.5">
      <c r="A22" s="22" t="s">
        <v>123</v>
      </c>
      <c r="B22" s="25">
        <v>929</v>
      </c>
      <c r="C22" s="25">
        <v>1974</v>
      </c>
      <c r="D22" s="25">
        <v>694</v>
      </c>
      <c r="E22" s="25">
        <v>484</v>
      </c>
      <c r="F22" s="230">
        <v>159</v>
      </c>
      <c r="G22" s="141">
        <f t="shared" si="1"/>
        <v>4240</v>
      </c>
    </row>
    <row r="23" spans="1:7" ht="13.5">
      <c r="A23" s="22" t="s">
        <v>117</v>
      </c>
      <c r="B23" s="25">
        <f>SUM(B30:B38)</f>
        <v>0</v>
      </c>
      <c r="C23" s="25">
        <v>600</v>
      </c>
      <c r="D23" s="25">
        <v>500</v>
      </c>
      <c r="E23" s="25">
        <v>210</v>
      </c>
      <c r="F23" s="25">
        <v>29</v>
      </c>
      <c r="G23" s="141">
        <f t="shared" si="1"/>
        <v>1339</v>
      </c>
    </row>
    <row r="24" spans="1:7" ht="13.5">
      <c r="A24" s="22" t="s">
        <v>118</v>
      </c>
      <c r="B24" s="25">
        <f>SUM(B41:B64)</f>
        <v>0</v>
      </c>
      <c r="C24" s="25">
        <f>SUM(C41:C64)</f>
        <v>0</v>
      </c>
      <c r="D24" s="25">
        <f>SUM(D41:D64)</f>
        <v>0</v>
      </c>
      <c r="E24" s="25">
        <f>SUM(E41:E64)</f>
        <v>0</v>
      </c>
      <c r="F24" s="25">
        <f>SUM(F41:F53)</f>
        <v>0</v>
      </c>
      <c r="G24" s="141">
        <f t="shared" si="1"/>
        <v>0</v>
      </c>
    </row>
    <row r="25" spans="1:7" ht="15" thickBot="1">
      <c r="A25" s="22" t="s">
        <v>119</v>
      </c>
      <c r="B25" s="25">
        <f>SUM(B20:B24)</f>
        <v>1315</v>
      </c>
      <c r="C25" s="25">
        <f>SUM(C20:C24)</f>
        <v>3395</v>
      </c>
      <c r="D25" s="25">
        <f>SUM(D20:D24)</f>
        <v>1635</v>
      </c>
      <c r="E25" s="25">
        <f>SUM(E20:E24)</f>
        <v>964</v>
      </c>
      <c r="F25" s="230">
        <f>SUM(F20:F24)</f>
        <v>993</v>
      </c>
      <c r="G25" s="141">
        <f t="shared" si="1"/>
        <v>8302</v>
      </c>
    </row>
    <row r="26" spans="1:7" ht="15" thickBot="1">
      <c r="A26" s="269" t="s">
        <v>120</v>
      </c>
      <c r="B26" s="270">
        <f>B25-(B24+B23)</f>
        <v>1315</v>
      </c>
      <c r="C26" s="270">
        <f>C25-(C24+C23)</f>
        <v>2795</v>
      </c>
      <c r="D26" s="270">
        <f>D25-(D24+D23)</f>
        <v>1135</v>
      </c>
      <c r="E26" s="270">
        <f>E25-(E24+E23)</f>
        <v>754</v>
      </c>
      <c r="F26" s="270">
        <f>F25-(F24+F23)</f>
        <v>964</v>
      </c>
      <c r="G26" s="270">
        <f t="shared" si="1"/>
        <v>6963</v>
      </c>
    </row>
    <row r="27" spans="1:7" ht="13.5">
      <c r="A27" s="142" t="s">
        <v>121</v>
      </c>
      <c r="B27" s="143">
        <f>B25-B22</f>
        <v>386</v>
      </c>
      <c r="C27" s="143">
        <f>C25-C22</f>
        <v>1421</v>
      </c>
      <c r="D27" s="143">
        <f>D25-D22</f>
        <v>941</v>
      </c>
      <c r="E27" s="143">
        <f>E25-E22</f>
        <v>480</v>
      </c>
      <c r="F27" s="231">
        <f>F25-F22</f>
        <v>834</v>
      </c>
      <c r="G27" s="141">
        <f t="shared" si="1"/>
        <v>4062</v>
      </c>
    </row>
    <row r="28" spans="1:7"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c r="G28" s="145" t="str">
        <f>IF((G27+G22)&lt;G25,"error",IF((G27+G22)&gt;G25,"error"," "))</f>
        <v> </v>
      </c>
    </row>
    <row r="29" spans="1:7" ht="15" thickBot="1">
      <c r="A29" s="138" t="s">
        <v>117</v>
      </c>
      <c r="B29" s="154"/>
      <c r="C29" s="154"/>
      <c r="D29" s="154"/>
      <c r="E29" s="154"/>
      <c r="F29" s="154"/>
      <c r="G29" s="127" t="str">
        <f aca="true" t="shared" si="2" ref="G29:G38">A29</f>
        <v>Special Offerings/Funds</v>
      </c>
    </row>
    <row r="30" spans="1:7" ht="13.5">
      <c r="A30" s="22" t="s">
        <v>193</v>
      </c>
      <c r="B30"/>
      <c r="C30" s="25" t="s">
        <v>194</v>
      </c>
      <c r="D30" s="25"/>
      <c r="E30" s="25"/>
      <c r="F30" s="25"/>
      <c r="G30" s="22"/>
    </row>
    <row r="31" spans="1:7" ht="13.5">
      <c r="A31" s="22" t="s">
        <v>195</v>
      </c>
      <c r="B31" s="25"/>
      <c r="C31" s="25"/>
      <c r="D31" s="285" t="s">
        <v>196</v>
      </c>
      <c r="E31" s="25"/>
      <c r="G31" s="22" t="str">
        <f t="shared" si="2"/>
        <v>Video equip for live stream</v>
      </c>
    </row>
    <row r="32" spans="1:7" ht="13.5">
      <c r="A32" s="22" t="s">
        <v>197</v>
      </c>
      <c r="B32" s="25"/>
      <c r="C32" s="25"/>
      <c r="D32" s="25"/>
      <c r="E32" s="25" t="s">
        <v>198</v>
      </c>
      <c r="F32" s="239" t="s">
        <v>201</v>
      </c>
      <c r="G32" s="22" t="str">
        <f t="shared" si="2"/>
        <v>Meditation booklets</v>
      </c>
    </row>
    <row r="33" spans="1:7" ht="13.5">
      <c r="A33" s="40" t="s">
        <v>199</v>
      </c>
      <c r="B33" s="25"/>
      <c r="C33" s="25"/>
      <c r="D33" s="25"/>
      <c r="E33" s="25" t="s">
        <v>200</v>
      </c>
      <c r="G33" s="22" t="str">
        <f t="shared" si="2"/>
        <v>ELS monument</v>
      </c>
    </row>
    <row r="34" spans="1:7" ht="13.5">
      <c r="A34" s="22"/>
      <c r="B34" s="25"/>
      <c r="C34" s="25"/>
      <c r="D34" s="25"/>
      <c r="E34" s="25"/>
      <c r="G34" s="22">
        <f t="shared" si="2"/>
        <v>0</v>
      </c>
    </row>
    <row r="35" spans="1:7" ht="13.5">
      <c r="A35" s="22"/>
      <c r="B35" s="25"/>
      <c r="C35" s="25"/>
      <c r="D35" s="25"/>
      <c r="E35" s="25"/>
      <c r="G35" s="22">
        <f t="shared" si="2"/>
        <v>0</v>
      </c>
    </row>
    <row r="36" spans="1:7" ht="13.5">
      <c r="A36" s="22"/>
      <c r="B36" s="25"/>
      <c r="C36" s="25"/>
      <c r="D36" s="25"/>
      <c r="E36" s="25"/>
      <c r="G36" s="22">
        <f t="shared" si="2"/>
        <v>0</v>
      </c>
    </row>
    <row r="37" spans="1:7" ht="13.5">
      <c r="A37" s="22"/>
      <c r="B37" s="25"/>
      <c r="C37" s="25"/>
      <c r="D37" s="25"/>
      <c r="E37" s="25"/>
      <c r="G37" s="22">
        <f t="shared" si="2"/>
        <v>0</v>
      </c>
    </row>
    <row r="38" spans="1:7" ht="13.5">
      <c r="A38" s="22"/>
      <c r="B38" s="25"/>
      <c r="C38" s="25"/>
      <c r="D38" s="25"/>
      <c r="E38" s="25"/>
      <c r="G38" s="22">
        <f t="shared" si="2"/>
        <v>0</v>
      </c>
    </row>
    <row r="39" spans="1:7" ht="13.5">
      <c r="A39" s="21"/>
      <c r="B39" s="25"/>
      <c r="C39" s="25"/>
      <c r="D39" s="25"/>
      <c r="E39" s="25"/>
      <c r="G39" s="22"/>
    </row>
    <row r="40" spans="1:7" ht="15" thickBot="1">
      <c r="A40" s="127" t="s">
        <v>118</v>
      </c>
      <c r="B40" s="154"/>
      <c r="C40" s="154"/>
      <c r="D40" s="154"/>
      <c r="E40" s="154"/>
      <c r="G40" s="127" t="str">
        <f aca="true" t="shared" si="3" ref="G40:G48">A40</f>
        <v>Memorials</v>
      </c>
    </row>
    <row r="41" spans="1:7" ht="13.5">
      <c r="A41" s="22"/>
      <c r="B41" s="25"/>
      <c r="C41" s="25"/>
      <c r="D41" s="25"/>
      <c r="E41" s="25"/>
      <c r="G41" s="22">
        <f t="shared" si="3"/>
        <v>0</v>
      </c>
    </row>
    <row r="42" spans="1:7" ht="13.5">
      <c r="A42" s="22"/>
      <c r="B42" s="25"/>
      <c r="C42" s="25"/>
      <c r="D42" s="25"/>
      <c r="E42" s="25"/>
      <c r="G42" s="22">
        <f t="shared" si="3"/>
        <v>0</v>
      </c>
    </row>
    <row r="43" spans="1:7" ht="13.5">
      <c r="A43" s="22"/>
      <c r="B43" s="25"/>
      <c r="C43" s="25"/>
      <c r="D43" s="25"/>
      <c r="E43" s="25"/>
      <c r="G43" s="22">
        <f t="shared" si="3"/>
        <v>0</v>
      </c>
    </row>
    <row r="44" spans="1:7" ht="13.5">
      <c r="A44" s="40"/>
      <c r="B44" s="25"/>
      <c r="C44" s="25"/>
      <c r="D44" s="25"/>
      <c r="E44" s="25"/>
      <c r="G44" s="22">
        <f t="shared" si="3"/>
        <v>0</v>
      </c>
    </row>
    <row r="45" spans="1:8" ht="13.5">
      <c r="A45" s="22"/>
      <c r="B45" s="25"/>
      <c r="C45" s="25"/>
      <c r="D45" s="25"/>
      <c r="E45" s="25"/>
      <c r="G45" s="22">
        <f t="shared" si="3"/>
        <v>0</v>
      </c>
      <c r="H45" s="174"/>
    </row>
    <row r="46" spans="1:8" ht="13.5">
      <c r="A46" s="22"/>
      <c r="B46" s="25"/>
      <c r="C46" s="25"/>
      <c r="D46" s="25"/>
      <c r="E46" s="25"/>
      <c r="G46" s="22">
        <f t="shared" si="3"/>
        <v>0</v>
      </c>
      <c r="H46" s="174"/>
    </row>
    <row r="47" spans="1:8" ht="13.5">
      <c r="A47" s="22"/>
      <c r="B47" s="25"/>
      <c r="C47" s="25"/>
      <c r="D47" s="25"/>
      <c r="E47" s="25"/>
      <c r="G47" s="22">
        <f t="shared" si="3"/>
        <v>0</v>
      </c>
      <c r="H47" s="174"/>
    </row>
    <row r="48" spans="1:8" ht="13.5">
      <c r="A48" s="22"/>
      <c r="B48" s="25"/>
      <c r="C48" s="25"/>
      <c r="D48" s="25"/>
      <c r="E48" s="25"/>
      <c r="G48" s="22">
        <f t="shared" si="3"/>
        <v>0</v>
      </c>
      <c r="H48" s="174"/>
    </row>
    <row r="49" spans="1:8" ht="13.5">
      <c r="A49" s="22"/>
      <c r="B49" s="25"/>
      <c r="C49" s="25"/>
      <c r="D49" s="25"/>
      <c r="E49" s="25"/>
      <c r="G49" s="22">
        <f aca="true" t="shared" si="4" ref="G49:G56">A49</f>
        <v>0</v>
      </c>
      <c r="H49" s="174"/>
    </row>
    <row r="50" spans="1:8" ht="13.5">
      <c r="A50" s="22"/>
      <c r="B50" s="25"/>
      <c r="C50" s="25"/>
      <c r="D50" s="25"/>
      <c r="E50" s="25"/>
      <c r="G50" s="22">
        <f t="shared" si="4"/>
        <v>0</v>
      </c>
      <c r="H50" s="174"/>
    </row>
    <row r="51" spans="1:8" ht="13.5">
      <c r="A51" s="22"/>
      <c r="B51" s="25"/>
      <c r="C51" s="25"/>
      <c r="D51" s="25"/>
      <c r="E51" s="25"/>
      <c r="G51" s="22">
        <f t="shared" si="4"/>
        <v>0</v>
      </c>
      <c r="H51" s="174"/>
    </row>
    <row r="52" spans="1:8" ht="13.5">
      <c r="A52" s="22"/>
      <c r="B52" s="25"/>
      <c r="C52" s="25"/>
      <c r="D52" s="25"/>
      <c r="E52" s="25"/>
      <c r="G52" s="22">
        <f t="shared" si="4"/>
        <v>0</v>
      </c>
      <c r="H52" s="174"/>
    </row>
    <row r="53" spans="1:8" ht="13.5">
      <c r="A53" s="22"/>
      <c r="B53" s="25"/>
      <c r="C53" s="25"/>
      <c r="D53" s="25"/>
      <c r="E53" s="25"/>
      <c r="G53" s="22">
        <f t="shared" si="4"/>
        <v>0</v>
      </c>
      <c r="H53" s="174"/>
    </row>
    <row r="54" spans="1:8" ht="13.5">
      <c r="A54" s="22"/>
      <c r="B54" s="25"/>
      <c r="C54" s="25"/>
      <c r="D54" s="25"/>
      <c r="E54" s="25"/>
      <c r="G54" s="25">
        <f t="shared" si="4"/>
        <v>0</v>
      </c>
      <c r="H54" s="174"/>
    </row>
    <row r="55" spans="1:8" ht="13.5">
      <c r="A55" s="22"/>
      <c r="B55" s="25"/>
      <c r="C55" s="25"/>
      <c r="D55" s="25"/>
      <c r="E55" s="25"/>
      <c r="G55" s="25">
        <f t="shared" si="4"/>
        <v>0</v>
      </c>
      <c r="H55" s="174"/>
    </row>
    <row r="56" spans="1:8" ht="13.5">
      <c r="A56" s="22"/>
      <c r="B56" s="25"/>
      <c r="C56" s="25"/>
      <c r="D56" s="25"/>
      <c r="E56" s="25"/>
      <c r="G56" s="25">
        <f t="shared" si="4"/>
        <v>0</v>
      </c>
      <c r="H56" s="174"/>
    </row>
    <row r="57" spans="1:8" ht="13.5">
      <c r="A57" s="22"/>
      <c r="B57" s="25"/>
      <c r="C57" s="25"/>
      <c r="D57" s="25"/>
      <c r="E57" s="25"/>
      <c r="G57" s="25"/>
      <c r="H57" s="174"/>
    </row>
    <row r="58" spans="1:8" ht="13.5">
      <c r="A58" s="22"/>
      <c r="B58" s="25"/>
      <c r="C58" s="25"/>
      <c r="D58" s="25"/>
      <c r="E58" s="25"/>
      <c r="G58" s="25"/>
      <c r="H58" s="174"/>
    </row>
    <row r="59" spans="1:8" ht="13.5">
      <c r="A59" s="22"/>
      <c r="B59" s="25"/>
      <c r="C59" s="25"/>
      <c r="D59" s="25"/>
      <c r="E59" s="25"/>
      <c r="G59" s="25"/>
      <c r="H59" s="174"/>
    </row>
    <row r="60" spans="1:8" ht="13.5">
      <c r="A60" s="22"/>
      <c r="B60" s="25"/>
      <c r="C60" s="25"/>
      <c r="D60" s="25"/>
      <c r="E60" s="25"/>
      <c r="G60" s="25"/>
      <c r="H60" s="174"/>
    </row>
    <row r="61" spans="1:8" ht="13.5">
      <c r="A61" s="22"/>
      <c r="B61" s="25"/>
      <c r="C61" s="25"/>
      <c r="D61" s="25"/>
      <c r="E61" s="25"/>
      <c r="F61" s="230"/>
      <c r="G61" s="25"/>
      <c r="H61" s="174"/>
    </row>
    <row r="62" spans="1:8" ht="13.5">
      <c r="A62" s="22"/>
      <c r="B62" s="25"/>
      <c r="C62" s="25"/>
      <c r="D62" s="25"/>
      <c r="E62" s="25"/>
      <c r="F62" s="230"/>
      <c r="G62" s="25"/>
      <c r="H62" s="174"/>
    </row>
    <row r="63" spans="1:8" ht="13.5">
      <c r="A63" s="22"/>
      <c r="B63" s="25"/>
      <c r="C63" s="25"/>
      <c r="D63" s="25"/>
      <c r="E63" s="25"/>
      <c r="F63" s="230"/>
      <c r="G63" s="25"/>
      <c r="H63" s="174"/>
    </row>
    <row r="64" spans="1:8" ht="13.5">
      <c r="A64" s="22"/>
      <c r="B64" s="25"/>
      <c r="C64" s="25"/>
      <c r="D64" s="25"/>
      <c r="E64" s="25"/>
      <c r="F64" s="230"/>
      <c r="G64" s="25"/>
      <c r="H64" s="174"/>
    </row>
    <row r="65" spans="1:8" ht="13.5">
      <c r="A65" s="22"/>
      <c r="B65" s="25"/>
      <c r="C65" s="25"/>
      <c r="D65" s="25"/>
      <c r="E65" s="25"/>
      <c r="F65" s="230"/>
      <c r="G65" s="25"/>
      <c r="H65" s="41"/>
    </row>
    <row r="66" spans="1:8" ht="13.5">
      <c r="A66" s="22"/>
      <c r="B66" s="25"/>
      <c r="C66" s="25"/>
      <c r="D66" s="25"/>
      <c r="E66" s="25"/>
      <c r="F66" s="230"/>
      <c r="G66" s="25"/>
      <c r="H66" s="21"/>
    </row>
    <row r="67" ht="13.5">
      <c r="H67" s="21"/>
    </row>
    <row r="68" ht="13.5">
      <c r="H68" s="21"/>
    </row>
    <row r="69" ht="13.5">
      <c r="H69" s="21"/>
    </row>
    <row r="70" ht="13.5">
      <c r="H70" s="21"/>
    </row>
    <row r="71" ht="13.5">
      <c r="H71" s="21"/>
    </row>
  </sheetData>
  <sheetProtection/>
  <printOptions gridLines="1"/>
  <pageMargins left="0" right="0" top="0.75" bottom="0.75" header="0.3" footer="0.3"/>
  <pageSetup fitToHeight="1" fitToWidth="1" orientation="portrait" scale="57"/>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O276"/>
  <sheetViews>
    <sheetView zoomScalePageLayoutView="0" workbookViewId="0" topLeftCell="A1">
      <selection activeCell="A33" sqref="A33"/>
    </sheetView>
  </sheetViews>
  <sheetFormatPr defaultColWidth="11.375" defaultRowHeight="12.75"/>
  <cols>
    <col min="1" max="1" width="24.75390625" style="0" customWidth="1"/>
    <col min="2" max="5" width="13.75390625" style="146" customWidth="1"/>
    <col min="6" max="6" width="27.00390625" style="146" customWidth="1"/>
    <col min="7" max="7" width="22.75390625" style="146" customWidth="1"/>
    <col min="8" max="8" width="13.75390625" style="146" customWidth="1"/>
    <col min="9" max="9" width="13.75390625" style="0" customWidth="1"/>
    <col min="10" max="10" width="20.00390625" style="0" customWidth="1"/>
  </cols>
  <sheetData>
    <row r="1" spans="1:8" ht="13.5">
      <c r="A1" s="122">
        <f ca="1">TODAY()</f>
        <v>42757</v>
      </c>
      <c r="B1" s="123" t="s">
        <v>98</v>
      </c>
      <c r="C1" s="123"/>
      <c r="D1" s="123"/>
      <c r="E1" s="25"/>
      <c r="F1" s="25"/>
      <c r="G1" s="25"/>
      <c r="H1" s="25"/>
    </row>
    <row r="2" spans="1:8" ht="13.5">
      <c r="A2" s="21"/>
      <c r="B2" s="123" t="s">
        <v>99</v>
      </c>
      <c r="C2" s="123"/>
      <c r="D2" s="123"/>
      <c r="E2"/>
      <c r="F2"/>
      <c r="G2"/>
      <c r="H2"/>
    </row>
    <row r="3" spans="1:8" ht="15" thickBot="1">
      <c r="A3" s="21"/>
      <c r="B3" s="25"/>
      <c r="C3" s="25"/>
      <c r="D3" s="25"/>
      <c r="E3" s="25"/>
      <c r="F3" s="25"/>
      <c r="G3" s="25"/>
      <c r="H3" s="25"/>
    </row>
    <row r="4" spans="2:8" ht="13.5">
      <c r="B4" s="124" t="s">
        <v>100</v>
      </c>
      <c r="C4" s="125" t="s">
        <v>101</v>
      </c>
      <c r="D4" s="126" t="s">
        <v>102</v>
      </c>
      <c r="E4" s="126" t="s">
        <v>103</v>
      </c>
      <c r="F4" s="126"/>
      <c r="G4" s="126"/>
      <c r="H4" s="126"/>
    </row>
    <row r="5" spans="1:8" ht="15" thickBot="1">
      <c r="A5" s="127" t="s">
        <v>104</v>
      </c>
      <c r="B5" s="128" t="s">
        <v>14</v>
      </c>
      <c r="C5" s="281">
        <v>2020</v>
      </c>
      <c r="D5" s="282">
        <v>2019</v>
      </c>
      <c r="E5" s="152" t="s">
        <v>149</v>
      </c>
      <c r="F5" s="129"/>
      <c r="G5" s="129"/>
      <c r="H5" s="129"/>
    </row>
    <row r="6" spans="1:8" ht="13.5">
      <c r="A6" s="134" t="s">
        <v>123</v>
      </c>
      <c r="B6" s="131">
        <f>F22</f>
        <v>4101</v>
      </c>
      <c r="C6" s="132">
        <f>B6+November!C6</f>
        <v>35168</v>
      </c>
      <c r="D6" s="25">
        <v>18251</v>
      </c>
      <c r="E6" s="25">
        <f aca="true" t="shared" si="0" ref="E6:E13">C6-D6</f>
        <v>16917</v>
      </c>
      <c r="F6" s="25"/>
      <c r="G6" s="25"/>
      <c r="H6" s="25"/>
    </row>
    <row r="7" spans="1:8" ht="13.5">
      <c r="A7" s="133" t="s">
        <v>105</v>
      </c>
      <c r="B7" s="131">
        <f>F20</f>
        <v>312</v>
      </c>
      <c r="C7" s="132">
        <f>B7+November!C7</f>
        <v>1472</v>
      </c>
      <c r="D7" s="25">
        <v>3643.01</v>
      </c>
      <c r="E7" s="25">
        <f t="shared" si="0"/>
        <v>-2171.01</v>
      </c>
      <c r="F7" s="25"/>
      <c r="G7" s="25"/>
      <c r="H7" s="25"/>
    </row>
    <row r="8" spans="1:8" ht="13.5">
      <c r="A8" s="133" t="s">
        <v>92</v>
      </c>
      <c r="B8" s="131">
        <f>F21</f>
        <v>8922</v>
      </c>
      <c r="C8" s="132">
        <f>B8+November!C8</f>
        <v>48497.75</v>
      </c>
      <c r="D8" s="25">
        <v>60552.69</v>
      </c>
      <c r="E8" s="25">
        <f t="shared" si="0"/>
        <v>-12054.940000000002</v>
      </c>
      <c r="F8" s="25"/>
      <c r="G8" s="25"/>
      <c r="H8" s="25"/>
    </row>
    <row r="9" spans="1:8" ht="13.5">
      <c r="A9" s="133" t="s">
        <v>106</v>
      </c>
      <c r="B9" s="131">
        <f>F23</f>
        <v>835</v>
      </c>
      <c r="C9" s="132">
        <f>B9+November!C9</f>
        <v>5514.18</v>
      </c>
      <c r="D9" s="25">
        <v>4762.96</v>
      </c>
      <c r="E9" s="25">
        <f t="shared" si="0"/>
        <v>751.2200000000003</v>
      </c>
      <c r="F9" s="25"/>
      <c r="G9" s="25"/>
      <c r="H9" s="25"/>
    </row>
    <row r="10" spans="1:8" ht="13.5">
      <c r="A10" s="133" t="s">
        <v>107</v>
      </c>
      <c r="B10" s="131">
        <f>F24</f>
        <v>0</v>
      </c>
      <c r="C10" s="132">
        <f>B10+November!C10</f>
        <v>25</v>
      </c>
      <c r="D10" s="25">
        <v>300</v>
      </c>
      <c r="E10" s="25">
        <f t="shared" si="0"/>
        <v>-275</v>
      </c>
      <c r="F10" s="25"/>
      <c r="G10" s="25"/>
      <c r="H10" s="25"/>
    </row>
    <row r="11" spans="1:8" ht="15" thickBot="1">
      <c r="A11" s="134" t="s">
        <v>108</v>
      </c>
      <c r="B11" s="131">
        <f>SUM(B6:B10)</f>
        <v>14170</v>
      </c>
      <c r="C11" s="132">
        <f>B11+November!C11</f>
        <v>90676.93</v>
      </c>
      <c r="D11" s="25">
        <v>86089.66</v>
      </c>
      <c r="E11" s="25">
        <f t="shared" si="0"/>
        <v>4587.2699999999895</v>
      </c>
      <c r="F11" s="25"/>
      <c r="G11" s="25"/>
      <c r="H11" s="25"/>
    </row>
    <row r="12" spans="1:8" ht="15.75" thickBot="1" thickTop="1">
      <c r="A12" s="220" t="s">
        <v>109</v>
      </c>
      <c r="B12" s="221">
        <f>F26</f>
        <v>13335</v>
      </c>
      <c r="C12" s="222">
        <f>B12+November!C12</f>
        <v>88253.75</v>
      </c>
      <c r="D12" s="25">
        <v>91188.86</v>
      </c>
      <c r="E12" s="25">
        <f t="shared" si="0"/>
        <v>-2935.1100000000006</v>
      </c>
      <c r="F12" s="25"/>
      <c r="G12" s="25"/>
      <c r="H12" s="25"/>
    </row>
    <row r="13" spans="1:8" ht="15" thickTop="1">
      <c r="A13" s="22" t="s">
        <v>110</v>
      </c>
      <c r="B13" s="131">
        <v>9106.33</v>
      </c>
      <c r="C13" s="132">
        <f>B13*12</f>
        <v>109275.95999999999</v>
      </c>
      <c r="D13" s="25">
        <v>100200</v>
      </c>
      <c r="E13" s="25">
        <f t="shared" si="0"/>
        <v>9075.959999999992</v>
      </c>
      <c r="F13" s="25"/>
      <c r="G13" s="25"/>
      <c r="H13" s="25"/>
    </row>
    <row r="14" spans="1:8" ht="15" thickBot="1">
      <c r="A14" s="22" t="s">
        <v>122</v>
      </c>
      <c r="B14" s="135">
        <f>B12-B13</f>
        <v>4228.67</v>
      </c>
      <c r="C14" s="136">
        <f>C12-C13</f>
        <v>-21022.209999999992</v>
      </c>
      <c r="D14" s="25">
        <f>D12-D13</f>
        <v>-9011.14</v>
      </c>
      <c r="E14"/>
      <c r="F14"/>
      <c r="G14" s="25"/>
      <c r="H14" s="25"/>
    </row>
    <row r="15" spans="1:8" ht="13.5">
      <c r="A15" s="22" t="s">
        <v>112</v>
      </c>
      <c r="B15" s="156">
        <f>B12/B13</f>
        <v>1.4643659959610513</v>
      </c>
      <c r="C15" s="156">
        <f>C12/C13</f>
        <v>0.8076227378830624</v>
      </c>
      <c r="D15" s="156">
        <f>D12/D13</f>
        <v>0.9100684630738523</v>
      </c>
      <c r="E15" s="25"/>
      <c r="F15" s="25"/>
      <c r="G15" s="25"/>
      <c r="H15" s="25"/>
    </row>
    <row r="16" spans="2:15" ht="13.5">
      <c r="B16" s="25"/>
      <c r="C16" s="25"/>
      <c r="D16" s="25"/>
      <c r="E16" s="25"/>
      <c r="F16" s="25"/>
      <c r="G16" s="25"/>
      <c r="H16" s="25"/>
      <c r="I16" s="21"/>
      <c r="J16" s="22"/>
      <c r="K16" s="25"/>
      <c r="L16" s="25"/>
      <c r="M16" s="25"/>
      <c r="N16" s="25"/>
      <c r="O16" s="21"/>
    </row>
    <row r="17" spans="2:14" ht="13.5">
      <c r="B17" s="137" t="s">
        <v>84</v>
      </c>
      <c r="C17" s="137" t="s">
        <v>84</v>
      </c>
      <c r="D17" s="137" t="s">
        <v>84</v>
      </c>
      <c r="E17" s="137" t="s">
        <v>84</v>
      </c>
      <c r="F17" s="31" t="s">
        <v>113</v>
      </c>
      <c r="G17"/>
      <c r="H17"/>
      <c r="I17" s="22"/>
      <c r="J17" s="25"/>
      <c r="K17" s="25"/>
      <c r="L17" s="25"/>
      <c r="M17" s="25"/>
      <c r="N17" s="21"/>
    </row>
    <row r="18" spans="1:14" ht="15" thickBot="1">
      <c r="A18" s="138" t="s">
        <v>114</v>
      </c>
      <c r="B18" s="139">
        <f>'2020 Wkly Log'!BK3</f>
        <v>42709</v>
      </c>
      <c r="C18" s="139">
        <f>'2020 Wkly Log'!BL3</f>
        <v>42716</v>
      </c>
      <c r="D18" s="139">
        <f>'2020 Wkly Log'!BM3</f>
        <v>42723</v>
      </c>
      <c r="E18" s="139">
        <f>'2020 Wkly Log'!BN3</f>
        <v>42730</v>
      </c>
      <c r="F18" s="151" t="str">
        <f>B5</f>
        <v>December</v>
      </c>
      <c r="G18"/>
      <c r="H18"/>
      <c r="I18" s="22"/>
      <c r="J18" s="25"/>
      <c r="K18" s="25"/>
      <c r="L18" s="25"/>
      <c r="M18" s="25"/>
      <c r="N18" s="21"/>
    </row>
    <row r="19" spans="1:14" ht="13.5">
      <c r="A19" s="22"/>
      <c r="B19" s="25"/>
      <c r="C19" s="25"/>
      <c r="D19" s="25"/>
      <c r="E19" s="25"/>
      <c r="F19" s="140"/>
      <c r="G19"/>
      <c r="H19"/>
      <c r="I19" s="21"/>
      <c r="J19" s="21"/>
      <c r="K19" s="21"/>
      <c r="L19" s="21"/>
      <c r="M19" s="21"/>
      <c r="N19" s="21"/>
    </row>
    <row r="20" spans="1:8" ht="13.5">
      <c r="A20" s="22" t="s">
        <v>105</v>
      </c>
      <c r="B20" s="25">
        <v>28</v>
      </c>
      <c r="C20" s="25">
        <v>106</v>
      </c>
      <c r="D20" s="25">
        <v>0</v>
      </c>
      <c r="E20" s="25">
        <v>178</v>
      </c>
      <c r="F20" s="141">
        <f aca="true" t="shared" si="1" ref="F20:F27">SUM(B20:E20)</f>
        <v>312</v>
      </c>
      <c r="G20"/>
      <c r="H20"/>
    </row>
    <row r="21" spans="1:8" ht="13.5">
      <c r="A21" s="22" t="s">
        <v>115</v>
      </c>
      <c r="B21" s="25">
        <v>876</v>
      </c>
      <c r="C21" s="25">
        <v>4405</v>
      </c>
      <c r="D21" s="25">
        <v>885</v>
      </c>
      <c r="E21" s="25">
        <v>2756</v>
      </c>
      <c r="F21" s="141">
        <f t="shared" si="1"/>
        <v>8922</v>
      </c>
      <c r="G21"/>
      <c r="H21"/>
    </row>
    <row r="22" spans="1:8" ht="13.5">
      <c r="A22" s="22" t="s">
        <v>116</v>
      </c>
      <c r="B22" s="25">
        <v>929</v>
      </c>
      <c r="C22" s="25">
        <v>1984</v>
      </c>
      <c r="D22" s="25">
        <v>694</v>
      </c>
      <c r="E22" s="25">
        <v>494</v>
      </c>
      <c r="F22" s="141">
        <f t="shared" si="1"/>
        <v>4101</v>
      </c>
      <c r="G22"/>
      <c r="H22"/>
    </row>
    <row r="23" spans="1:8" ht="13.5">
      <c r="A23" s="22" t="s">
        <v>117</v>
      </c>
      <c r="B23" s="25">
        <v>300</v>
      </c>
      <c r="C23" s="25">
        <v>5</v>
      </c>
      <c r="D23" s="25">
        <v>30</v>
      </c>
      <c r="E23" s="25">
        <v>500</v>
      </c>
      <c r="F23" s="141">
        <f t="shared" si="1"/>
        <v>835</v>
      </c>
      <c r="G23"/>
      <c r="H23"/>
    </row>
    <row r="24" spans="1:8" ht="13.5">
      <c r="A24" s="22" t="s">
        <v>118</v>
      </c>
      <c r="B24" s="25">
        <f>+SUM(B41:B64)</f>
        <v>0</v>
      </c>
      <c r="C24" s="25">
        <f>+SUM(C41:C64)</f>
        <v>0</v>
      </c>
      <c r="D24" s="25">
        <f>+SUM(D41:D64)</f>
        <v>0</v>
      </c>
      <c r="E24" s="25">
        <f>+SUM(E41:E64)</f>
        <v>0</v>
      </c>
      <c r="F24" s="141">
        <f t="shared" si="1"/>
        <v>0</v>
      </c>
      <c r="G24"/>
      <c r="H24"/>
    </row>
    <row r="25" spans="1:8" ht="15" thickBot="1">
      <c r="A25" s="22" t="s">
        <v>119</v>
      </c>
      <c r="B25" s="25">
        <f>SUM(B20:B24)</f>
        <v>2133</v>
      </c>
      <c r="C25" s="25">
        <f>SUM(C20:C24)</f>
        <v>6500</v>
      </c>
      <c r="D25" s="25">
        <f>SUM(D20:D24)</f>
        <v>1609</v>
      </c>
      <c r="E25" s="25">
        <f>SUM(E20:E24)</f>
        <v>3928</v>
      </c>
      <c r="F25" s="141">
        <f t="shared" si="1"/>
        <v>14170</v>
      </c>
      <c r="G25"/>
      <c r="H25"/>
    </row>
    <row r="26" spans="1:8" ht="15.75" thickBot="1" thickTop="1">
      <c r="A26" s="223" t="s">
        <v>120</v>
      </c>
      <c r="B26" s="224">
        <f>B25-(B24+B23)</f>
        <v>1833</v>
      </c>
      <c r="C26" s="224">
        <f>C25-(C24+C23)</f>
        <v>6495</v>
      </c>
      <c r="D26" s="224">
        <f>D25-(D24+D23)</f>
        <v>1579</v>
      </c>
      <c r="E26" s="224">
        <f>E25-(E24+E23)</f>
        <v>3428</v>
      </c>
      <c r="F26" s="225">
        <f t="shared" si="1"/>
        <v>13335</v>
      </c>
      <c r="G26"/>
      <c r="H26"/>
    </row>
    <row r="27" spans="1:8" ht="15" thickTop="1">
      <c r="A27" s="142" t="s">
        <v>121</v>
      </c>
      <c r="B27" s="143">
        <f>B25-B22</f>
        <v>1204</v>
      </c>
      <c r="C27" s="143">
        <f>C25-C22</f>
        <v>4516</v>
      </c>
      <c r="D27" s="143">
        <f>D25-D22</f>
        <v>915</v>
      </c>
      <c r="E27" s="143">
        <f>E25-E22</f>
        <v>3434</v>
      </c>
      <c r="F27" s="141">
        <f t="shared" si="1"/>
        <v>10069</v>
      </c>
      <c r="G27"/>
      <c r="H27"/>
    </row>
    <row r="28" spans="1:8"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c r="G28"/>
      <c r="H28"/>
    </row>
    <row r="29" spans="1:8" ht="15" thickBot="1">
      <c r="A29" s="138" t="s">
        <v>117</v>
      </c>
      <c r="B29" s="154"/>
      <c r="C29" s="154"/>
      <c r="D29" s="154"/>
      <c r="E29" s="154"/>
      <c r="F29" s="127" t="str">
        <f aca="true" t="shared" si="2" ref="F29:F38">A29</f>
        <v>Special Offerings/Funds</v>
      </c>
      <c r="G29"/>
      <c r="H29"/>
    </row>
    <row r="30" spans="1:8" ht="13.5">
      <c r="A30" s="22" t="s">
        <v>202</v>
      </c>
      <c r="B30" s="291">
        <v>300</v>
      </c>
      <c r="C30" s="25"/>
      <c r="D30" s="25"/>
      <c r="E30" s="25"/>
      <c r="F30" s="286"/>
      <c r="G30"/>
      <c r="H30"/>
    </row>
    <row r="31" spans="1:8" ht="13.5">
      <c r="A31" s="22" t="s">
        <v>203</v>
      </c>
      <c r="B31" s="240">
        <v>15.81</v>
      </c>
      <c r="C31" s="25"/>
      <c r="D31" s="25"/>
      <c r="E31" s="25"/>
      <c r="F31" s="287"/>
      <c r="G31"/>
      <c r="H31"/>
    </row>
    <row r="32" spans="1:8" ht="13.5">
      <c r="A32" s="22" t="s">
        <v>209</v>
      </c>
      <c r="B32" s="25"/>
      <c r="C32" s="25">
        <v>5</v>
      </c>
      <c r="D32" s="25"/>
      <c r="E32" s="25"/>
      <c r="F32" s="22" t="str">
        <f t="shared" si="2"/>
        <v>Anonymous Meditation booklets</v>
      </c>
      <c r="G32"/>
      <c r="H32"/>
    </row>
    <row r="33" spans="1:8" ht="13.5">
      <c r="A33" s="40" t="s">
        <v>204</v>
      </c>
      <c r="B33" s="25"/>
      <c r="C33" s="25"/>
      <c r="D33" s="25" t="s">
        <v>205</v>
      </c>
      <c r="E33" s="25"/>
      <c r="F33" s="22" t="str">
        <f t="shared" si="2"/>
        <v>Bows</v>
      </c>
      <c r="G33"/>
      <c r="H33"/>
    </row>
    <row r="34" spans="1:8" ht="13.5">
      <c r="A34" s="22" t="s">
        <v>206</v>
      </c>
      <c r="B34" s="25"/>
      <c r="C34" s="25"/>
      <c r="D34" s="25">
        <v>30</v>
      </c>
      <c r="E34" s="25"/>
      <c r="F34" s="22" t="str">
        <f t="shared" si="2"/>
        <v>Books annonymous</v>
      </c>
      <c r="G34"/>
      <c r="H34"/>
    </row>
    <row r="35" spans="1:8" ht="13.5">
      <c r="A35" s="22" t="s">
        <v>207</v>
      </c>
      <c r="B35" s="25"/>
      <c r="C35" s="25"/>
      <c r="D35" s="25"/>
      <c r="E35" s="25" t="s">
        <v>208</v>
      </c>
      <c r="F35" s="22" t="str">
        <f t="shared" si="2"/>
        <v>debt reduction</v>
      </c>
      <c r="G35"/>
      <c r="H35"/>
    </row>
    <row r="36" spans="1:8" ht="13.5">
      <c r="A36" s="22"/>
      <c r="B36" s="25"/>
      <c r="C36" s="25"/>
      <c r="D36" s="25"/>
      <c r="E36" s="25"/>
      <c r="F36" s="22">
        <f t="shared" si="2"/>
        <v>0</v>
      </c>
      <c r="G36"/>
      <c r="H36"/>
    </row>
    <row r="37" spans="1:8" ht="13.5">
      <c r="A37" s="22"/>
      <c r="B37" s="25"/>
      <c r="C37" s="25"/>
      <c r="D37" s="25"/>
      <c r="E37" s="25"/>
      <c r="F37" s="22">
        <f t="shared" si="2"/>
        <v>0</v>
      </c>
      <c r="G37"/>
      <c r="H37"/>
    </row>
    <row r="38" spans="1:8" ht="13.5">
      <c r="A38" s="22"/>
      <c r="B38" s="25"/>
      <c r="C38" s="25"/>
      <c r="D38" s="25"/>
      <c r="E38" s="25"/>
      <c r="F38" s="22">
        <f t="shared" si="2"/>
        <v>0</v>
      </c>
      <c r="G38"/>
      <c r="H38"/>
    </row>
    <row r="39" spans="1:8" ht="13.5">
      <c r="A39" s="21"/>
      <c r="B39" s="25"/>
      <c r="C39" s="25"/>
      <c r="D39" s="25"/>
      <c r="E39" s="25"/>
      <c r="F39" s="22"/>
      <c r="G39"/>
      <c r="H39"/>
    </row>
    <row r="40" spans="1:8" ht="15" thickBot="1">
      <c r="A40" s="127" t="s">
        <v>118</v>
      </c>
      <c r="B40" s="154"/>
      <c r="C40" s="154"/>
      <c r="D40" s="154"/>
      <c r="E40" s="154"/>
      <c r="F40" s="127" t="str">
        <f aca="true" t="shared" si="3" ref="F40:F48">A40</f>
        <v>Memorials</v>
      </c>
      <c r="G40"/>
      <c r="H40"/>
    </row>
    <row r="41" spans="1:8" ht="13.5">
      <c r="A41" s="22"/>
      <c r="B41" s="25"/>
      <c r="C41" s="25"/>
      <c r="D41" s="25"/>
      <c r="E41" s="25"/>
      <c r="F41" s="22">
        <f t="shared" si="3"/>
        <v>0</v>
      </c>
      <c r="G41"/>
      <c r="H41"/>
    </row>
    <row r="42" spans="1:8" ht="13.5">
      <c r="A42" s="22"/>
      <c r="B42" s="25"/>
      <c r="C42" s="25"/>
      <c r="D42" s="25"/>
      <c r="E42" s="25"/>
      <c r="F42" s="22">
        <f t="shared" si="3"/>
        <v>0</v>
      </c>
      <c r="G42" s="40"/>
      <c r="H42"/>
    </row>
    <row r="43" spans="1:8" ht="13.5">
      <c r="A43" s="22"/>
      <c r="B43" s="25"/>
      <c r="C43" s="25"/>
      <c r="D43" s="25"/>
      <c r="E43" s="25"/>
      <c r="F43" s="22">
        <f t="shared" si="3"/>
        <v>0</v>
      </c>
      <c r="G43"/>
      <c r="H43"/>
    </row>
    <row r="44" spans="1:8" ht="13.5">
      <c r="A44" s="40"/>
      <c r="B44" s="25"/>
      <c r="C44" s="25"/>
      <c r="D44" s="25"/>
      <c r="E44" s="25"/>
      <c r="F44" s="22">
        <f t="shared" si="3"/>
        <v>0</v>
      </c>
      <c r="G44"/>
      <c r="H44"/>
    </row>
    <row r="45" spans="1:8" ht="13.5">
      <c r="A45" s="22"/>
      <c r="B45" s="25"/>
      <c r="C45" s="25"/>
      <c r="D45" s="25"/>
      <c r="E45" s="25"/>
      <c r="F45" s="22">
        <f t="shared" si="3"/>
        <v>0</v>
      </c>
      <c r="G45"/>
      <c r="H45"/>
    </row>
    <row r="46" spans="1:8" ht="13.5">
      <c r="A46" s="22"/>
      <c r="B46" s="25"/>
      <c r="C46" s="25"/>
      <c r="D46" s="25"/>
      <c r="E46" s="25"/>
      <c r="F46" s="22">
        <f t="shared" si="3"/>
        <v>0</v>
      </c>
      <c r="G46"/>
      <c r="H46"/>
    </row>
    <row r="47" spans="1:8" ht="13.5">
      <c r="A47" s="22"/>
      <c r="B47" s="25"/>
      <c r="C47" s="25"/>
      <c r="D47" s="25"/>
      <c r="E47" s="25"/>
      <c r="F47" s="22">
        <f t="shared" si="3"/>
        <v>0</v>
      </c>
      <c r="G47"/>
      <c r="H47"/>
    </row>
    <row r="48" spans="1:8" ht="13.5">
      <c r="A48" s="22"/>
      <c r="B48" s="25"/>
      <c r="C48" s="25"/>
      <c r="D48" s="25"/>
      <c r="E48" s="25"/>
      <c r="F48" s="22">
        <f t="shared" si="3"/>
        <v>0</v>
      </c>
      <c r="G48"/>
      <c r="H48"/>
    </row>
    <row r="49" spans="1:8" ht="13.5">
      <c r="A49" s="22"/>
      <c r="B49" s="25"/>
      <c r="C49" s="25"/>
      <c r="D49" s="25"/>
      <c r="E49" s="25"/>
      <c r="F49" s="22">
        <f aca="true" t="shared" si="4" ref="F49:F55">A49</f>
        <v>0</v>
      </c>
      <c r="G49"/>
      <c r="H49"/>
    </row>
    <row r="50" spans="1:8" ht="13.5">
      <c r="A50" s="22"/>
      <c r="B50" s="25"/>
      <c r="C50" s="25"/>
      <c r="D50" s="25"/>
      <c r="E50" s="25"/>
      <c r="F50" s="22">
        <f t="shared" si="4"/>
        <v>0</v>
      </c>
      <c r="G50"/>
      <c r="H50"/>
    </row>
    <row r="51" spans="1:8" ht="13.5">
      <c r="A51" s="22"/>
      <c r="B51" s="25"/>
      <c r="C51" s="25"/>
      <c r="D51" s="25"/>
      <c r="E51" s="25"/>
      <c r="F51" s="22">
        <f t="shared" si="4"/>
        <v>0</v>
      </c>
      <c r="G51"/>
      <c r="H51"/>
    </row>
    <row r="52" spans="1:8" ht="13.5">
      <c r="A52" s="22"/>
      <c r="B52" s="25"/>
      <c r="C52" s="25"/>
      <c r="D52" s="25"/>
      <c r="E52" s="25"/>
      <c r="F52" s="22">
        <f t="shared" si="4"/>
        <v>0</v>
      </c>
      <c r="G52"/>
      <c r="H52"/>
    </row>
    <row r="53" spans="1:8" ht="13.5">
      <c r="A53" s="22"/>
      <c r="B53" s="25"/>
      <c r="C53" s="25"/>
      <c r="D53" s="25"/>
      <c r="E53" s="25"/>
      <c r="F53" s="22">
        <f t="shared" si="4"/>
        <v>0</v>
      </c>
      <c r="G53"/>
      <c r="H53"/>
    </row>
    <row r="54" spans="1:8" ht="13.5">
      <c r="A54" s="22"/>
      <c r="B54" s="25"/>
      <c r="C54" s="25"/>
      <c r="D54" s="25"/>
      <c r="E54" s="25"/>
      <c r="F54" s="174">
        <f t="shared" si="4"/>
        <v>0</v>
      </c>
      <c r="G54"/>
      <c r="H54"/>
    </row>
    <row r="55" spans="1:8" ht="13.5">
      <c r="A55" s="22"/>
      <c r="B55" s="25"/>
      <c r="C55" s="25"/>
      <c r="D55" s="25"/>
      <c r="E55" s="25"/>
      <c r="F55" s="174">
        <f t="shared" si="4"/>
        <v>0</v>
      </c>
      <c r="G55"/>
      <c r="H55"/>
    </row>
    <row r="56" spans="1:8" ht="13.5">
      <c r="A56" s="22"/>
      <c r="B56" s="25"/>
      <c r="C56" s="25"/>
      <c r="D56" s="25"/>
      <c r="E56" s="25"/>
      <c r="F56" s="174"/>
      <c r="G56"/>
      <c r="H56"/>
    </row>
    <row r="57" spans="1:8" ht="13.5">
      <c r="A57" s="22"/>
      <c r="B57" s="25"/>
      <c r="C57" s="25"/>
      <c r="D57" s="25"/>
      <c r="E57" s="25"/>
      <c r="F57" s="174"/>
      <c r="G57"/>
      <c r="H57"/>
    </row>
    <row r="58" spans="1:8" ht="13.5">
      <c r="A58" s="22"/>
      <c r="B58" s="25"/>
      <c r="C58" s="25"/>
      <c r="D58" s="25"/>
      <c r="E58" s="25"/>
      <c r="F58" s="174"/>
      <c r="G58"/>
      <c r="H58"/>
    </row>
    <row r="59" spans="1:8" ht="13.5">
      <c r="A59" s="22"/>
      <c r="B59" s="25"/>
      <c r="C59" s="25"/>
      <c r="D59" s="25"/>
      <c r="E59" s="25"/>
      <c r="F59" s="174"/>
      <c r="G59"/>
      <c r="H59"/>
    </row>
    <row r="60" spans="1:8" ht="13.5">
      <c r="A60" s="22"/>
      <c r="B60" s="25"/>
      <c r="C60" s="25"/>
      <c r="D60" s="25"/>
      <c r="E60" s="25"/>
      <c r="F60" s="174"/>
      <c r="G60" s="25"/>
      <c r="H60"/>
    </row>
    <row r="61" spans="1:8" ht="13.5">
      <c r="A61" s="22"/>
      <c r="B61" s="25"/>
      <c r="C61" s="25"/>
      <c r="D61" s="25"/>
      <c r="E61" s="25"/>
      <c r="F61" s="174"/>
      <c r="G61" s="25"/>
      <c r="H61" s="41"/>
    </row>
    <row r="62" spans="1:8" ht="13.5">
      <c r="A62" s="22"/>
      <c r="B62" s="25"/>
      <c r="C62" s="25"/>
      <c r="D62" s="25"/>
      <c r="E62" s="25"/>
      <c r="F62" s="174"/>
      <c r="G62" s="25"/>
      <c r="H62" s="41"/>
    </row>
    <row r="63" spans="1:8" ht="13.5">
      <c r="A63" s="22"/>
      <c r="B63" s="25"/>
      <c r="C63" s="25"/>
      <c r="D63" s="25"/>
      <c r="E63" s="25"/>
      <c r="F63" s="174"/>
      <c r="H63" s="21"/>
    </row>
    <row r="64" spans="1:8" ht="13.5">
      <c r="A64" s="142"/>
      <c r="F64" s="174"/>
      <c r="H64" s="21"/>
    </row>
    <row r="65" ht="13.5">
      <c r="H65" s="21"/>
    </row>
    <row r="66" ht="13.5">
      <c r="H66" s="21"/>
    </row>
    <row r="67" ht="13.5">
      <c r="H67" s="21"/>
    </row>
    <row r="68" ht="13.5">
      <c r="H68" s="21"/>
    </row>
    <row r="69" ht="13.5">
      <c r="H69"/>
    </row>
    <row r="70" ht="13.5">
      <c r="H70"/>
    </row>
    <row r="71" ht="13.5">
      <c r="H71"/>
    </row>
    <row r="72" ht="13.5">
      <c r="H72"/>
    </row>
    <row r="73" ht="13.5">
      <c r="H73"/>
    </row>
    <row r="74" ht="13.5">
      <c r="H74"/>
    </row>
    <row r="75" ht="13.5">
      <c r="H75"/>
    </row>
    <row r="76" ht="13.5">
      <c r="H76"/>
    </row>
    <row r="77" ht="13.5">
      <c r="H77"/>
    </row>
    <row r="78" ht="13.5">
      <c r="H78"/>
    </row>
    <row r="79" ht="13.5">
      <c r="H79"/>
    </row>
    <row r="80" ht="13.5">
      <c r="H80"/>
    </row>
    <row r="81" ht="13.5">
      <c r="H81"/>
    </row>
    <row r="82" ht="13.5">
      <c r="H82"/>
    </row>
    <row r="83" ht="13.5">
      <c r="H83"/>
    </row>
    <row r="84" ht="13.5">
      <c r="H84"/>
    </row>
    <row r="85" ht="13.5">
      <c r="H85"/>
    </row>
    <row r="86" ht="13.5">
      <c r="H86"/>
    </row>
    <row r="87" ht="13.5">
      <c r="H87"/>
    </row>
    <row r="88" ht="13.5">
      <c r="H88"/>
    </row>
    <row r="89" ht="13.5">
      <c r="H89"/>
    </row>
    <row r="90" ht="13.5">
      <c r="H90"/>
    </row>
    <row r="91" ht="13.5">
      <c r="H91"/>
    </row>
    <row r="92" ht="13.5">
      <c r="H92"/>
    </row>
    <row r="93" ht="13.5">
      <c r="H93"/>
    </row>
    <row r="94" ht="13.5">
      <c r="H94"/>
    </row>
    <row r="95" ht="13.5">
      <c r="H95"/>
    </row>
    <row r="96" ht="13.5">
      <c r="H96"/>
    </row>
    <row r="97" ht="13.5">
      <c r="H97"/>
    </row>
    <row r="98" ht="13.5">
      <c r="H98"/>
    </row>
    <row r="99" ht="13.5">
      <c r="H99"/>
    </row>
    <row r="100" ht="13.5">
      <c r="H100"/>
    </row>
    <row r="101" ht="13.5">
      <c r="H101"/>
    </row>
    <row r="102" ht="13.5">
      <c r="H102"/>
    </row>
    <row r="103" ht="13.5">
      <c r="H103"/>
    </row>
    <row r="104" ht="13.5">
      <c r="H104"/>
    </row>
    <row r="105" ht="13.5">
      <c r="H105"/>
    </row>
    <row r="106" ht="13.5">
      <c r="H106"/>
    </row>
    <row r="107" ht="13.5">
      <c r="H107"/>
    </row>
    <row r="108" ht="13.5">
      <c r="H108"/>
    </row>
    <row r="109" ht="13.5">
      <c r="H109"/>
    </row>
    <row r="110" ht="13.5">
      <c r="H110"/>
    </row>
    <row r="111" ht="13.5">
      <c r="H111"/>
    </row>
    <row r="112" ht="13.5">
      <c r="H112"/>
    </row>
    <row r="113" ht="13.5">
      <c r="H113"/>
    </row>
    <row r="114" ht="13.5">
      <c r="H114"/>
    </row>
    <row r="115" ht="13.5">
      <c r="H115"/>
    </row>
    <row r="116" ht="13.5">
      <c r="H116"/>
    </row>
    <row r="117" ht="13.5">
      <c r="H117"/>
    </row>
    <row r="118" ht="13.5">
      <c r="H118"/>
    </row>
    <row r="119" ht="13.5">
      <c r="H119"/>
    </row>
    <row r="120" ht="13.5">
      <c r="H120"/>
    </row>
    <row r="121" ht="13.5">
      <c r="H121"/>
    </row>
    <row r="122" ht="13.5">
      <c r="H122"/>
    </row>
    <row r="123" ht="13.5">
      <c r="H123"/>
    </row>
    <row r="124" ht="13.5">
      <c r="H124"/>
    </row>
    <row r="125" ht="13.5">
      <c r="H125"/>
    </row>
    <row r="126" ht="13.5">
      <c r="H126"/>
    </row>
    <row r="127" ht="13.5">
      <c r="H127"/>
    </row>
    <row r="128" ht="13.5">
      <c r="H128"/>
    </row>
    <row r="129" ht="13.5">
      <c r="H129"/>
    </row>
    <row r="130" ht="13.5">
      <c r="H130"/>
    </row>
    <row r="131" ht="13.5">
      <c r="H131"/>
    </row>
    <row r="132" ht="13.5">
      <c r="H132"/>
    </row>
    <row r="133" ht="13.5">
      <c r="H133"/>
    </row>
    <row r="134" ht="13.5">
      <c r="H134"/>
    </row>
    <row r="135" ht="13.5">
      <c r="H135"/>
    </row>
    <row r="136" ht="13.5">
      <c r="H136"/>
    </row>
    <row r="137" ht="13.5">
      <c r="H137"/>
    </row>
    <row r="138" ht="13.5">
      <c r="H138"/>
    </row>
    <row r="139" ht="13.5">
      <c r="H139"/>
    </row>
    <row r="140" ht="13.5">
      <c r="H140"/>
    </row>
    <row r="141" ht="13.5">
      <c r="H141"/>
    </row>
    <row r="142" ht="13.5">
      <c r="H142"/>
    </row>
    <row r="143" ht="13.5">
      <c r="H143"/>
    </row>
    <row r="144" ht="13.5">
      <c r="H144"/>
    </row>
    <row r="145" ht="13.5">
      <c r="H145"/>
    </row>
    <row r="146" ht="13.5">
      <c r="H146"/>
    </row>
    <row r="147" ht="13.5">
      <c r="H147"/>
    </row>
    <row r="148" ht="13.5">
      <c r="H148"/>
    </row>
    <row r="149" ht="13.5">
      <c r="H149"/>
    </row>
    <row r="150" ht="13.5">
      <c r="H150"/>
    </row>
    <row r="151" ht="13.5">
      <c r="H151"/>
    </row>
    <row r="152" ht="13.5">
      <c r="H152"/>
    </row>
    <row r="153" ht="13.5">
      <c r="H153"/>
    </row>
    <row r="154" ht="13.5">
      <c r="H154"/>
    </row>
    <row r="155" ht="13.5">
      <c r="H155"/>
    </row>
    <row r="156" ht="13.5">
      <c r="H156"/>
    </row>
    <row r="157" ht="13.5">
      <c r="H157"/>
    </row>
    <row r="158" ht="13.5">
      <c r="H158"/>
    </row>
    <row r="159" ht="13.5">
      <c r="H159"/>
    </row>
    <row r="160" ht="13.5">
      <c r="H160"/>
    </row>
    <row r="161" ht="13.5">
      <c r="H161"/>
    </row>
    <row r="162" ht="13.5">
      <c r="H162"/>
    </row>
    <row r="163" ht="13.5">
      <c r="H163"/>
    </row>
    <row r="164" ht="13.5">
      <c r="H164"/>
    </row>
    <row r="165" ht="13.5">
      <c r="H165"/>
    </row>
    <row r="166" ht="13.5">
      <c r="H166"/>
    </row>
    <row r="167" ht="13.5">
      <c r="H167"/>
    </row>
    <row r="168" ht="13.5">
      <c r="H168"/>
    </row>
    <row r="169" ht="13.5">
      <c r="H169"/>
    </row>
    <row r="170" ht="13.5">
      <c r="H170"/>
    </row>
    <row r="171" ht="13.5">
      <c r="H171"/>
    </row>
    <row r="172" ht="13.5">
      <c r="H172"/>
    </row>
    <row r="173" ht="13.5">
      <c r="H173"/>
    </row>
    <row r="174" ht="13.5">
      <c r="H174"/>
    </row>
    <row r="175" ht="13.5">
      <c r="H175"/>
    </row>
    <row r="176" ht="13.5">
      <c r="H176"/>
    </row>
    <row r="177" ht="13.5">
      <c r="H177"/>
    </row>
    <row r="178" ht="13.5">
      <c r="H178"/>
    </row>
    <row r="179" ht="13.5">
      <c r="H179"/>
    </row>
    <row r="180" ht="13.5">
      <c r="H180"/>
    </row>
    <row r="181" ht="13.5">
      <c r="H181"/>
    </row>
    <row r="182" ht="13.5">
      <c r="H182"/>
    </row>
    <row r="183" ht="13.5">
      <c r="H183"/>
    </row>
    <row r="184" ht="13.5">
      <c r="H184"/>
    </row>
    <row r="185" ht="13.5">
      <c r="H185"/>
    </row>
    <row r="186" ht="13.5">
      <c r="H186"/>
    </row>
    <row r="187" ht="13.5">
      <c r="H187"/>
    </row>
    <row r="188" ht="13.5">
      <c r="H188"/>
    </row>
    <row r="189" ht="13.5">
      <c r="H189"/>
    </row>
    <row r="190" ht="13.5">
      <c r="H190"/>
    </row>
    <row r="191" ht="13.5">
      <c r="H191"/>
    </row>
    <row r="192" ht="13.5">
      <c r="H192"/>
    </row>
    <row r="193" ht="13.5">
      <c r="H193"/>
    </row>
    <row r="194" ht="13.5">
      <c r="H194"/>
    </row>
    <row r="195" ht="13.5">
      <c r="H195"/>
    </row>
    <row r="196" ht="13.5">
      <c r="H196"/>
    </row>
    <row r="197" ht="13.5">
      <c r="H197"/>
    </row>
    <row r="198" ht="13.5">
      <c r="H198"/>
    </row>
    <row r="199" ht="13.5">
      <c r="H199"/>
    </row>
    <row r="200" ht="13.5">
      <c r="H200"/>
    </row>
    <row r="201" ht="13.5">
      <c r="H201"/>
    </row>
    <row r="202" ht="13.5">
      <c r="H202"/>
    </row>
    <row r="203" ht="13.5">
      <c r="H203"/>
    </row>
    <row r="204" ht="13.5">
      <c r="H204"/>
    </row>
    <row r="205" ht="13.5">
      <c r="H205"/>
    </row>
    <row r="206" ht="13.5">
      <c r="H206"/>
    </row>
    <row r="207" ht="13.5">
      <c r="H207"/>
    </row>
    <row r="208" ht="13.5">
      <c r="H208"/>
    </row>
    <row r="209" ht="13.5">
      <c r="H209"/>
    </row>
    <row r="210" ht="13.5">
      <c r="H210"/>
    </row>
    <row r="211" ht="13.5">
      <c r="H211"/>
    </row>
    <row r="212" ht="13.5">
      <c r="H212"/>
    </row>
    <row r="213" ht="13.5">
      <c r="H213"/>
    </row>
    <row r="214" ht="13.5">
      <c r="H214"/>
    </row>
    <row r="215" ht="13.5">
      <c r="H215"/>
    </row>
    <row r="216" ht="13.5">
      <c r="H216"/>
    </row>
    <row r="217" ht="13.5">
      <c r="H217"/>
    </row>
    <row r="218" ht="13.5">
      <c r="H218"/>
    </row>
    <row r="219" ht="13.5">
      <c r="H219"/>
    </row>
    <row r="220" ht="13.5">
      <c r="H220"/>
    </row>
    <row r="221" ht="13.5">
      <c r="H221"/>
    </row>
    <row r="222" ht="13.5">
      <c r="H222"/>
    </row>
    <row r="223" ht="13.5">
      <c r="H223"/>
    </row>
    <row r="224" ht="13.5">
      <c r="H224"/>
    </row>
    <row r="225" ht="13.5">
      <c r="H225"/>
    </row>
    <row r="226" ht="13.5">
      <c r="H226"/>
    </row>
    <row r="227" ht="13.5">
      <c r="H227"/>
    </row>
    <row r="228" ht="13.5">
      <c r="H228"/>
    </row>
    <row r="229" ht="13.5">
      <c r="H229"/>
    </row>
    <row r="230" ht="13.5">
      <c r="H230"/>
    </row>
    <row r="231" ht="13.5">
      <c r="H231"/>
    </row>
    <row r="232" ht="13.5">
      <c r="H232"/>
    </row>
    <row r="233" ht="13.5">
      <c r="H233"/>
    </row>
    <row r="234" ht="13.5">
      <c r="H234"/>
    </row>
    <row r="235" ht="13.5">
      <c r="H235"/>
    </row>
    <row r="236" ht="13.5">
      <c r="H236"/>
    </row>
    <row r="237" ht="13.5">
      <c r="H237"/>
    </row>
    <row r="238" ht="13.5">
      <c r="H238"/>
    </row>
    <row r="239" ht="13.5">
      <c r="H239"/>
    </row>
    <row r="240" ht="13.5">
      <c r="H240"/>
    </row>
    <row r="241" ht="13.5">
      <c r="H241"/>
    </row>
    <row r="242" ht="13.5">
      <c r="H242"/>
    </row>
    <row r="243" ht="13.5">
      <c r="H243"/>
    </row>
    <row r="244" ht="13.5">
      <c r="H244"/>
    </row>
    <row r="245" ht="13.5">
      <c r="H245"/>
    </row>
    <row r="246" ht="13.5">
      <c r="H246"/>
    </row>
    <row r="247" ht="13.5">
      <c r="H247"/>
    </row>
    <row r="248" ht="13.5">
      <c r="H248"/>
    </row>
    <row r="249" ht="13.5">
      <c r="H249"/>
    </row>
    <row r="250" ht="13.5">
      <c r="H250"/>
    </row>
    <row r="251" ht="13.5">
      <c r="H251"/>
    </row>
    <row r="252" ht="13.5">
      <c r="H252"/>
    </row>
    <row r="253" ht="13.5">
      <c r="H253"/>
    </row>
    <row r="254" ht="13.5">
      <c r="H254"/>
    </row>
    <row r="255" ht="13.5">
      <c r="H255"/>
    </row>
    <row r="256" ht="13.5">
      <c r="H256"/>
    </row>
    <row r="257" ht="13.5">
      <c r="H257"/>
    </row>
    <row r="258" ht="13.5">
      <c r="H258"/>
    </row>
    <row r="259" ht="13.5">
      <c r="H259"/>
    </row>
    <row r="260" ht="13.5">
      <c r="H260"/>
    </row>
    <row r="261" ht="13.5">
      <c r="H261"/>
    </row>
    <row r="262" ht="13.5">
      <c r="H262"/>
    </row>
    <row r="263" ht="13.5">
      <c r="H263"/>
    </row>
    <row r="264" ht="13.5">
      <c r="H264"/>
    </row>
    <row r="265" ht="13.5">
      <c r="H265"/>
    </row>
    <row r="266" ht="13.5">
      <c r="H266"/>
    </row>
    <row r="267" ht="13.5">
      <c r="H267"/>
    </row>
    <row r="268" ht="13.5">
      <c r="H268"/>
    </row>
    <row r="269" ht="13.5">
      <c r="H269"/>
    </row>
    <row r="270" ht="13.5">
      <c r="H270"/>
    </row>
    <row r="271" ht="13.5">
      <c r="H271"/>
    </row>
    <row r="272" ht="13.5">
      <c r="H272"/>
    </row>
    <row r="273" ht="13.5">
      <c r="H273"/>
    </row>
    <row r="274" ht="13.5">
      <c r="H274"/>
    </row>
    <row r="275" ht="13.5">
      <c r="H275"/>
    </row>
    <row r="276" ht="13.5">
      <c r="H276"/>
    </row>
  </sheetData>
  <sheetProtection/>
  <printOptions gridLines="1"/>
  <pageMargins left="0" right="0" top="0.75" bottom="0.5" header="0.5" footer="0.5"/>
  <pageSetup orientation="portrait" scale="65"/>
  <headerFooter alignWithMargins="0">
    <oddHeader>&amp;C&amp;A</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A1:CF117"/>
  <sheetViews>
    <sheetView zoomScalePageLayoutView="0" workbookViewId="0" topLeftCell="A1">
      <selection activeCell="H25" sqref="H25"/>
    </sheetView>
  </sheetViews>
  <sheetFormatPr defaultColWidth="8.75390625" defaultRowHeight="12.75"/>
  <cols>
    <col min="1" max="15" width="10.75390625" style="21" customWidth="1"/>
    <col min="16" max="16" width="8.75390625" style="21" customWidth="1"/>
    <col min="17" max="72" width="11.125" style="21" customWidth="1"/>
    <col min="73" max="73" width="8.875" style="21" customWidth="1"/>
    <col min="74" max="16384" width="8.75390625" style="21" customWidth="1"/>
  </cols>
  <sheetData>
    <row r="1" ht="13.5">
      <c r="O1" s="22" t="s">
        <v>17</v>
      </c>
    </row>
    <row r="2" ht="13.5">
      <c r="O2"/>
    </row>
    <row r="3" ht="13.5">
      <c r="O3" s="253" t="s">
        <v>143</v>
      </c>
    </row>
    <row r="4" ht="13.5">
      <c r="N4" s="22" t="s">
        <v>18</v>
      </c>
    </row>
    <row r="5" ht="13.5">
      <c r="N5"/>
    </row>
    <row r="6" ht="13.5">
      <c r="N6" s="255" t="s">
        <v>144</v>
      </c>
    </row>
    <row r="7" ht="13.5">
      <c r="M7" s="22" t="s">
        <v>19</v>
      </c>
    </row>
    <row r="8" ht="13.5">
      <c r="M8"/>
    </row>
    <row r="9" spans="3:84" ht="13.5">
      <c r="C9" s="42"/>
      <c r="D9" s="43"/>
      <c r="E9" s="43"/>
      <c r="F9" s="43"/>
      <c r="G9" s="43"/>
      <c r="H9" s="14"/>
      <c r="I9" s="43"/>
      <c r="J9" s="43"/>
      <c r="K9" s="43"/>
      <c r="L9" s="43"/>
      <c r="M9" s="256" t="s">
        <v>142</v>
      </c>
      <c r="N9" s="43"/>
      <c r="O9" s="44"/>
      <c r="P9" s="45"/>
      <c r="Q9" s="46"/>
      <c r="R9" s="43"/>
      <c r="S9" s="43"/>
      <c r="T9" s="43"/>
      <c r="U9" s="43"/>
      <c r="V9" s="43"/>
      <c r="W9" s="43"/>
      <c r="X9" s="43"/>
      <c r="Y9" s="43"/>
      <c r="Z9" s="43"/>
      <c r="AA9" s="14"/>
      <c r="AB9" s="43"/>
      <c r="AC9" s="43"/>
      <c r="AD9" s="43"/>
      <c r="AE9" s="43"/>
      <c r="AF9" s="14"/>
      <c r="AG9" s="43"/>
      <c r="AH9" s="43"/>
      <c r="AI9" s="43"/>
      <c r="AJ9" s="43"/>
      <c r="AK9" s="14"/>
      <c r="AL9" s="43"/>
      <c r="AM9" s="43"/>
      <c r="AN9" s="43"/>
      <c r="AO9" s="43"/>
      <c r="AP9" s="43"/>
      <c r="AQ9" s="43"/>
      <c r="AR9" s="43"/>
      <c r="AS9" s="43"/>
      <c r="AT9" s="43"/>
      <c r="AU9" s="43"/>
      <c r="AV9" s="14"/>
      <c r="AW9" s="43"/>
      <c r="AX9" s="43"/>
      <c r="AY9" s="43"/>
      <c r="AZ9" s="43"/>
      <c r="BA9" s="43"/>
      <c r="BB9" s="14"/>
      <c r="BC9" s="43"/>
      <c r="BD9" s="43"/>
      <c r="BE9" s="43"/>
      <c r="BF9" s="43"/>
      <c r="BG9" s="14"/>
      <c r="BH9" s="43"/>
      <c r="BI9" s="43"/>
      <c r="BJ9" s="43"/>
      <c r="BK9" s="43"/>
      <c r="BL9" s="14"/>
      <c r="BM9" s="43"/>
      <c r="BN9" s="43"/>
      <c r="BO9" s="43"/>
      <c r="BP9" s="43"/>
      <c r="BQ9" s="43"/>
      <c r="BR9" s="43"/>
      <c r="BS9" s="14"/>
      <c r="BT9" s="14"/>
      <c r="BU9" s="43"/>
      <c r="BV9" s="14"/>
      <c r="BW9" s="43"/>
      <c r="BX9" s="14"/>
      <c r="BY9" s="43"/>
      <c r="BZ9" s="43"/>
      <c r="CA9" s="43"/>
      <c r="CB9" s="43"/>
      <c r="CC9" s="43"/>
      <c r="CD9" s="43"/>
      <c r="CE9" s="14"/>
      <c r="CF9" s="43"/>
    </row>
    <row r="10" spans="1:83" ht="13.5">
      <c r="A10" s="31"/>
      <c r="B10" s="47"/>
      <c r="D10" s="33"/>
      <c r="E10" s="33"/>
      <c r="F10" s="33"/>
      <c r="G10" s="33"/>
      <c r="H10" s="33"/>
      <c r="I10" s="33"/>
      <c r="J10" s="33"/>
      <c r="K10" s="33"/>
      <c r="L10" s="38" t="s">
        <v>20</v>
      </c>
      <c r="M10" s="33"/>
      <c r="N10" s="33"/>
      <c r="O10" s="48" t="s">
        <v>21</v>
      </c>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row>
    <row r="11" spans="2:84" ht="13.5">
      <c r="B11" s="47"/>
      <c r="D11" s="23"/>
      <c r="E11" s="23"/>
      <c r="F11" s="23"/>
      <c r="G11" s="23"/>
      <c r="H11" s="38"/>
      <c r="I11" s="23"/>
      <c r="J11" s="23"/>
      <c r="K11" s="23"/>
      <c r="L11"/>
      <c r="M11" s="23"/>
      <c r="N11" s="24"/>
      <c r="O11" s="51" t="s">
        <v>22</v>
      </c>
      <c r="P11" s="46"/>
      <c r="Q11" s="23"/>
      <c r="R11" s="23"/>
      <c r="S11" s="23"/>
      <c r="T11" s="23"/>
      <c r="U11" s="23"/>
      <c r="V11" s="23"/>
      <c r="W11" s="23"/>
      <c r="X11" s="23"/>
      <c r="Y11" s="23"/>
      <c r="Z11" s="23"/>
      <c r="AA11" s="38"/>
      <c r="AB11" s="23"/>
      <c r="AC11" s="23"/>
      <c r="AD11" s="23"/>
      <c r="AE11" s="23"/>
      <c r="AF11" s="38"/>
      <c r="AG11" s="23"/>
      <c r="AH11" s="23"/>
      <c r="AI11" s="23"/>
      <c r="AJ11" s="23"/>
      <c r="AK11" s="38"/>
      <c r="AL11" s="23"/>
      <c r="AM11" s="23"/>
      <c r="AN11" s="23"/>
      <c r="AO11" s="23"/>
      <c r="AP11" s="23"/>
      <c r="AQ11" s="23"/>
      <c r="AR11" s="23"/>
      <c r="AS11" s="23"/>
      <c r="AT11" s="23"/>
      <c r="AU11" s="23"/>
      <c r="AV11" s="38"/>
      <c r="AW11" s="23"/>
      <c r="AX11" s="23"/>
      <c r="AY11" s="23"/>
      <c r="AZ11" s="23"/>
      <c r="BA11" s="23"/>
      <c r="BB11" s="38"/>
      <c r="BC11" s="23"/>
      <c r="BD11" s="23"/>
      <c r="BE11" s="23"/>
      <c r="BF11" s="23"/>
      <c r="BG11" s="38"/>
      <c r="BH11" s="23"/>
      <c r="BI11" s="23"/>
      <c r="BJ11" s="23"/>
      <c r="BK11" s="23"/>
      <c r="BL11" s="38"/>
      <c r="BM11" s="23"/>
      <c r="BN11" s="23"/>
      <c r="BO11" s="23"/>
      <c r="BP11" s="23"/>
      <c r="BQ11" s="23"/>
      <c r="BR11" s="23"/>
      <c r="BS11" s="38"/>
      <c r="BT11" s="38"/>
      <c r="BU11" s="23"/>
      <c r="BV11" s="23"/>
      <c r="BW11" s="23"/>
      <c r="BX11" s="23"/>
      <c r="BY11" s="23"/>
      <c r="BZ11" s="23"/>
      <c r="CA11" s="23"/>
      <c r="CB11" s="23"/>
      <c r="CC11" s="23"/>
      <c r="CD11" s="23"/>
      <c r="CE11" s="38"/>
      <c r="CF11" s="49"/>
    </row>
    <row r="12" spans="12:84" ht="13.5">
      <c r="L12" s="255" t="s">
        <v>145</v>
      </c>
      <c r="N12" s="50"/>
      <c r="O12" s="51" t="s">
        <v>23</v>
      </c>
      <c r="P12" s="46"/>
      <c r="BV12" s="23"/>
      <c r="BW12" s="23"/>
      <c r="BX12" s="23"/>
      <c r="BY12" s="23"/>
      <c r="BZ12" s="23"/>
      <c r="CA12" s="23"/>
      <c r="CB12" s="23"/>
      <c r="CC12" s="23"/>
      <c r="CD12" s="23"/>
      <c r="CE12" s="38"/>
      <c r="CF12" s="49"/>
    </row>
    <row r="13" spans="1:84" ht="13.5">
      <c r="A13" s="22"/>
      <c r="K13" s="2" t="s">
        <v>24</v>
      </c>
      <c r="N13" s="48" t="s">
        <v>21</v>
      </c>
      <c r="BV13" s="23"/>
      <c r="BW13" s="23"/>
      <c r="BX13" s="23"/>
      <c r="BY13" s="23"/>
      <c r="BZ13" s="23"/>
      <c r="CA13" s="23"/>
      <c r="CB13" s="23"/>
      <c r="CC13" s="23"/>
      <c r="CD13" s="23"/>
      <c r="CE13" s="38"/>
      <c r="CF13" s="49"/>
    </row>
    <row r="14" spans="1:84" ht="13.5">
      <c r="A14" s="22"/>
      <c r="C14" s="46"/>
      <c r="D14" s="46"/>
      <c r="E14" s="46"/>
      <c r="F14" s="46"/>
      <c r="G14" s="97"/>
      <c r="H14" s="46"/>
      <c r="I14" s="46"/>
      <c r="J14" s="46"/>
      <c r="K14"/>
      <c r="L14" s="46"/>
      <c r="M14" s="52"/>
      <c r="N14" s="51" t="s">
        <v>25</v>
      </c>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23"/>
      <c r="BW14" s="23"/>
      <c r="BX14" s="23"/>
      <c r="BY14" s="23"/>
      <c r="BZ14" s="23"/>
      <c r="CA14" s="23"/>
      <c r="CB14" s="23"/>
      <c r="CC14" s="23"/>
      <c r="CD14" s="23"/>
      <c r="CE14" s="38"/>
      <c r="CF14" s="49"/>
    </row>
    <row r="15" spans="1:84" ht="13.5">
      <c r="A15" s="22"/>
      <c r="C15" s="46"/>
      <c r="D15" s="46"/>
      <c r="E15" s="46"/>
      <c r="F15" s="46"/>
      <c r="G15" s="46"/>
      <c r="H15" s="46"/>
      <c r="I15" s="46"/>
      <c r="J15" s="46"/>
      <c r="K15" s="254" t="s">
        <v>146</v>
      </c>
      <c r="L15" s="46"/>
      <c r="M15" s="53"/>
      <c r="N15" s="51" t="s">
        <v>26</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23"/>
      <c r="BW15" s="23"/>
      <c r="BX15" s="23"/>
      <c r="BY15" s="23"/>
      <c r="BZ15" s="23"/>
      <c r="CA15" s="23"/>
      <c r="CB15" s="23"/>
      <c r="CC15" s="23"/>
      <c r="CD15" s="23"/>
      <c r="CE15" s="38"/>
      <c r="CF15" s="49"/>
    </row>
    <row r="16" spans="1:84" ht="13.5">
      <c r="A16" s="22"/>
      <c r="C16" s="46"/>
      <c r="D16" s="46"/>
      <c r="E16" s="46"/>
      <c r="F16" s="46"/>
      <c r="G16" s="46"/>
      <c r="H16" s="46"/>
      <c r="I16" s="46"/>
      <c r="J16" s="2" t="s">
        <v>27</v>
      </c>
      <c r="K16" s="46"/>
      <c r="L16" s="46"/>
      <c r="M16" s="48" t="s">
        <v>21</v>
      </c>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23"/>
      <c r="BW16" s="23"/>
      <c r="BX16" s="23"/>
      <c r="BY16" s="23"/>
      <c r="BZ16" s="23"/>
      <c r="CA16" s="23"/>
      <c r="CB16" s="23"/>
      <c r="CC16" s="23"/>
      <c r="CD16" s="23"/>
      <c r="CE16" s="38"/>
      <c r="CF16" s="49"/>
    </row>
    <row r="17" spans="1:84" ht="13.5">
      <c r="A17" s="22"/>
      <c r="C17" s="46"/>
      <c r="D17" s="46"/>
      <c r="E17" s="46"/>
      <c r="F17" s="46"/>
      <c r="G17" s="46"/>
      <c r="H17" s="46"/>
      <c r="I17" s="46"/>
      <c r="J17"/>
      <c r="K17" s="46"/>
      <c r="L17" s="52"/>
      <c r="M17" s="51" t="s">
        <v>28</v>
      </c>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23"/>
      <c r="BW17" s="23"/>
      <c r="BX17" s="23"/>
      <c r="BY17" s="23"/>
      <c r="BZ17" s="23"/>
      <c r="CA17" s="23"/>
      <c r="CB17" s="23"/>
      <c r="CC17" s="23"/>
      <c r="CD17" s="23"/>
      <c r="CE17" s="38"/>
      <c r="CF17" s="49"/>
    </row>
    <row r="18" spans="1:84" ht="13.5">
      <c r="A18" s="22"/>
      <c r="C18" s="46"/>
      <c r="D18" s="46"/>
      <c r="E18" s="46"/>
      <c r="F18" s="46"/>
      <c r="G18" s="46"/>
      <c r="H18" s="46"/>
      <c r="I18" s="46"/>
      <c r="J18" s="254" t="s">
        <v>142</v>
      </c>
      <c r="K18" s="46"/>
      <c r="L18" s="53"/>
      <c r="M18" s="51" t="s">
        <v>29</v>
      </c>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23"/>
      <c r="BW18" s="23"/>
      <c r="BX18" s="23"/>
      <c r="BY18" s="23"/>
      <c r="BZ18" s="23"/>
      <c r="CA18" s="23"/>
      <c r="CB18" s="23"/>
      <c r="CC18" s="23"/>
      <c r="CD18" s="23"/>
      <c r="CE18" s="38"/>
      <c r="CF18" s="49"/>
    </row>
    <row r="19" spans="1:84" ht="16.5">
      <c r="A19" s="22"/>
      <c r="B19" s="113" t="s">
        <v>30</v>
      </c>
      <c r="C19" s="46"/>
      <c r="D19" s="46"/>
      <c r="E19" s="46"/>
      <c r="F19" s="46"/>
      <c r="G19" s="46"/>
      <c r="H19" s="46"/>
      <c r="I19" s="2" t="s">
        <v>31</v>
      </c>
      <c r="J19" s="46"/>
      <c r="K19" s="46"/>
      <c r="L19" s="48" t="s">
        <v>21</v>
      </c>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23"/>
      <c r="BW19" s="23"/>
      <c r="BX19" s="23"/>
      <c r="BY19" s="23"/>
      <c r="BZ19" s="23"/>
      <c r="CA19" s="23"/>
      <c r="CB19" s="23"/>
      <c r="CC19" s="23"/>
      <c r="CD19" s="23"/>
      <c r="CE19" s="38"/>
      <c r="CF19" s="49"/>
    </row>
    <row r="20" spans="1:84" ht="16.5">
      <c r="A20" s="22"/>
      <c r="B20" s="113" t="s">
        <v>32</v>
      </c>
      <c r="C20" s="46"/>
      <c r="D20" s="46"/>
      <c r="E20" s="46"/>
      <c r="F20" s="46"/>
      <c r="G20" s="46"/>
      <c r="H20" s="46"/>
      <c r="I20"/>
      <c r="J20" s="46"/>
      <c r="K20" s="52"/>
      <c r="L20" s="51" t="s">
        <v>33</v>
      </c>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23"/>
      <c r="BW20" s="23"/>
      <c r="BX20" s="23"/>
      <c r="BY20" s="23"/>
      <c r="BZ20" s="23"/>
      <c r="CA20" s="23"/>
      <c r="CB20" s="23"/>
      <c r="CC20" s="23"/>
      <c r="CD20" s="23"/>
      <c r="CE20" s="38"/>
      <c r="CF20" s="49"/>
    </row>
    <row r="21" spans="1:84" ht="16.5">
      <c r="A21" s="22"/>
      <c r="B21" s="113" t="s">
        <v>133</v>
      </c>
      <c r="C21" s="46"/>
      <c r="D21" s="46"/>
      <c r="E21" s="46"/>
      <c r="F21" s="46"/>
      <c r="G21" s="46"/>
      <c r="H21" s="46"/>
      <c r="I21" s="254" t="s">
        <v>141</v>
      </c>
      <c r="J21" s="46"/>
      <c r="K21" s="53"/>
      <c r="L21" s="51" t="s">
        <v>34</v>
      </c>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23"/>
      <c r="BW21" s="23"/>
      <c r="BX21" s="23"/>
      <c r="BY21" s="23"/>
      <c r="BZ21" s="23"/>
      <c r="CA21" s="23"/>
      <c r="CB21" s="23"/>
      <c r="CC21" s="23"/>
      <c r="CD21" s="23"/>
      <c r="CE21" s="38"/>
      <c r="CF21" s="49"/>
    </row>
    <row r="22" spans="1:84" ht="15" thickBot="1">
      <c r="A22" s="22"/>
      <c r="B22"/>
      <c r="C22" s="46"/>
      <c r="D22" s="46"/>
      <c r="E22" s="46"/>
      <c r="F22" s="46"/>
      <c r="G22" s="46"/>
      <c r="H22" s="2" t="s">
        <v>35</v>
      </c>
      <c r="I22" s="46"/>
      <c r="J22" s="46"/>
      <c r="K22" s="48" t="s">
        <v>21</v>
      </c>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23"/>
      <c r="BW22" s="23"/>
      <c r="BX22" s="23"/>
      <c r="BY22" s="23"/>
      <c r="BZ22" s="23"/>
      <c r="CA22" s="23"/>
      <c r="CB22" s="23"/>
      <c r="CC22" s="23"/>
      <c r="CD22" s="23"/>
      <c r="CE22" s="38"/>
      <c r="CF22" s="49"/>
    </row>
    <row r="23" spans="1:84" ht="13.5">
      <c r="A23" s="22"/>
      <c r="B23" s="93"/>
      <c r="C23" s="46"/>
      <c r="D23" s="46"/>
      <c r="E23" s="46"/>
      <c r="F23" s="46"/>
      <c r="G23" s="46"/>
      <c r="H23"/>
      <c r="I23" s="46"/>
      <c r="J23" s="52"/>
      <c r="K23" s="51" t="s">
        <v>36</v>
      </c>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23"/>
      <c r="BW23" s="23"/>
      <c r="BX23" s="23"/>
      <c r="BY23" s="23"/>
      <c r="BZ23" s="23"/>
      <c r="CA23" s="23"/>
      <c r="CB23" s="23"/>
      <c r="CC23" s="23"/>
      <c r="CD23" s="23"/>
      <c r="CE23" s="38"/>
      <c r="CF23" s="49"/>
    </row>
    <row r="24" spans="1:84" ht="13.5">
      <c r="A24" s="22"/>
      <c r="B24" s="94"/>
      <c r="C24" s="46"/>
      <c r="D24" s="46"/>
      <c r="E24" s="46"/>
      <c r="F24" s="46"/>
      <c r="G24" s="46"/>
      <c r="H24" s="253" t="s">
        <v>147</v>
      </c>
      <c r="I24" s="46"/>
      <c r="J24" s="53"/>
      <c r="K24" s="51" t="s">
        <v>37</v>
      </c>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23"/>
      <c r="BW24" s="23"/>
      <c r="BX24" s="23"/>
      <c r="BY24" s="23"/>
      <c r="BZ24" s="23"/>
      <c r="CA24" s="23"/>
      <c r="CB24" s="23"/>
      <c r="CC24" s="23"/>
      <c r="CD24" s="23"/>
      <c r="CE24" s="38"/>
      <c r="CF24" s="49"/>
    </row>
    <row r="25" spans="1:84" ht="13.5">
      <c r="A25" s="22"/>
      <c r="B25" s="94"/>
      <c r="C25" s="46"/>
      <c r="D25" s="46"/>
      <c r="E25" s="46"/>
      <c r="F25" s="46"/>
      <c r="G25" s="2" t="s">
        <v>38</v>
      </c>
      <c r="H25" s="46"/>
      <c r="I25" s="46"/>
      <c r="J25" s="48" t="s">
        <v>21</v>
      </c>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23"/>
      <c r="BW25" s="23"/>
      <c r="BX25" s="23"/>
      <c r="BY25" s="23"/>
      <c r="BZ25" s="23"/>
      <c r="CA25" s="23"/>
      <c r="CB25" s="23"/>
      <c r="CC25" s="23"/>
      <c r="CD25" s="23"/>
      <c r="CE25" s="38"/>
      <c r="CF25" s="49"/>
    </row>
    <row r="26" spans="1:84" ht="15" thickBot="1">
      <c r="A26" s="22"/>
      <c r="B26" s="95"/>
      <c r="C26" s="46"/>
      <c r="D26" s="46"/>
      <c r="E26" s="46"/>
      <c r="F26" s="46"/>
      <c r="G26"/>
      <c r="H26" s="46"/>
      <c r="I26" s="52"/>
      <c r="J26" s="51" t="s">
        <v>39</v>
      </c>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23"/>
      <c r="BW26" s="23"/>
      <c r="BX26" s="23"/>
      <c r="BY26" s="23"/>
      <c r="BZ26" s="23"/>
      <c r="CA26" s="23"/>
      <c r="CB26" s="23"/>
      <c r="CC26" s="23"/>
      <c r="CD26" s="23"/>
      <c r="CE26" s="38"/>
      <c r="CF26" s="49"/>
    </row>
    <row r="27" spans="1:84" ht="13.5">
      <c r="A27" s="22"/>
      <c r="B27"/>
      <c r="C27" s="46"/>
      <c r="D27" s="46"/>
      <c r="E27" s="46"/>
      <c r="F27" s="46"/>
      <c r="G27" s="254" t="s">
        <v>140</v>
      </c>
      <c r="H27" s="46"/>
      <c r="I27" s="53"/>
      <c r="J27" s="51" t="s">
        <v>40</v>
      </c>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23"/>
      <c r="BW27" s="23"/>
      <c r="BX27" s="23"/>
      <c r="BY27" s="23"/>
      <c r="BZ27" s="23"/>
      <c r="CA27" s="23"/>
      <c r="CB27" s="23"/>
      <c r="CC27" s="23"/>
      <c r="CD27" s="23"/>
      <c r="CE27" s="38"/>
      <c r="CF27" s="49"/>
    </row>
    <row r="28" spans="1:84" ht="13.5">
      <c r="A28" s="22"/>
      <c r="B28"/>
      <c r="C28" s="46"/>
      <c r="D28" s="46"/>
      <c r="E28" s="46"/>
      <c r="F28" s="2" t="s">
        <v>41</v>
      </c>
      <c r="G28" s="46"/>
      <c r="H28" s="46"/>
      <c r="I28" s="48" t="s">
        <v>21</v>
      </c>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23"/>
      <c r="BW28" s="23"/>
      <c r="BX28" s="23"/>
      <c r="BY28" s="23"/>
      <c r="BZ28" s="23"/>
      <c r="CA28" s="23"/>
      <c r="CB28" s="23"/>
      <c r="CC28" s="23"/>
      <c r="CD28" s="23"/>
      <c r="CE28" s="38"/>
      <c r="CF28" s="49"/>
    </row>
    <row r="29" spans="1:84" ht="13.5">
      <c r="A29" s="22"/>
      <c r="B29"/>
      <c r="C29" s="46"/>
      <c r="D29" s="46"/>
      <c r="E29" s="46"/>
      <c r="F29"/>
      <c r="G29" s="46"/>
      <c r="H29" s="52"/>
      <c r="I29" s="51" t="s">
        <v>42</v>
      </c>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23"/>
      <c r="BW29" s="23"/>
      <c r="BX29" s="23"/>
      <c r="BY29" s="23"/>
      <c r="BZ29" s="23"/>
      <c r="CA29" s="23"/>
      <c r="CB29" s="23"/>
      <c r="CC29" s="23"/>
      <c r="CD29" s="23"/>
      <c r="CE29" s="38"/>
      <c r="CF29" s="49"/>
    </row>
    <row r="30" spans="1:84" ht="13.5">
      <c r="A30" s="22"/>
      <c r="C30" s="46"/>
      <c r="D30" s="46"/>
      <c r="E30" s="46"/>
      <c r="F30" s="254" t="s">
        <v>139</v>
      </c>
      <c r="G30" s="46"/>
      <c r="H30" s="53"/>
      <c r="I30" s="51" t="s">
        <v>43</v>
      </c>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23"/>
      <c r="BW30" s="23"/>
      <c r="BX30" s="23"/>
      <c r="BY30" s="23"/>
      <c r="BZ30" s="23"/>
      <c r="CA30" s="23"/>
      <c r="CB30" s="23"/>
      <c r="CC30" s="23"/>
      <c r="CD30" s="23"/>
      <c r="CE30" s="38"/>
      <c r="CF30" s="49"/>
    </row>
    <row r="31" spans="1:84" ht="13.5">
      <c r="A31" s="22"/>
      <c r="C31" s="46"/>
      <c r="D31" s="46"/>
      <c r="E31" s="2" t="s">
        <v>44</v>
      </c>
      <c r="F31" s="46"/>
      <c r="G31" s="46"/>
      <c r="H31" s="48" t="s">
        <v>21</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23"/>
      <c r="BW31" s="23"/>
      <c r="BX31" s="23"/>
      <c r="BY31" s="23"/>
      <c r="BZ31" s="23"/>
      <c r="CA31" s="23"/>
      <c r="CB31" s="23"/>
      <c r="CC31" s="23"/>
      <c r="CD31" s="23"/>
      <c r="CE31" s="38"/>
      <c r="CF31" s="49"/>
    </row>
    <row r="32" spans="1:84" ht="13.5">
      <c r="A32" s="22"/>
      <c r="C32" s="46"/>
      <c r="D32" s="46"/>
      <c r="E32"/>
      <c r="F32" s="46"/>
      <c r="G32" s="52"/>
      <c r="H32" s="51" t="s">
        <v>45</v>
      </c>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23"/>
      <c r="BW32" s="23"/>
      <c r="BX32" s="23"/>
      <c r="BY32" s="23"/>
      <c r="BZ32" s="23"/>
      <c r="CA32" s="23"/>
      <c r="CB32" s="23"/>
      <c r="CC32" s="23"/>
      <c r="CD32" s="23"/>
      <c r="CE32" s="38"/>
      <c r="CF32" s="49"/>
    </row>
    <row r="33" spans="1:84" ht="13.5">
      <c r="A33" s="22"/>
      <c r="C33" s="46"/>
      <c r="D33" s="46"/>
      <c r="E33" s="254" t="s">
        <v>138</v>
      </c>
      <c r="F33" s="46"/>
      <c r="G33" s="53"/>
      <c r="H33" s="51" t="s">
        <v>46</v>
      </c>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23"/>
      <c r="BW33" s="23"/>
      <c r="BX33" s="23"/>
      <c r="BY33" s="23"/>
      <c r="BZ33" s="23"/>
      <c r="CA33" s="23"/>
      <c r="CB33" s="23"/>
      <c r="CC33" s="23"/>
      <c r="CD33" s="23"/>
      <c r="CE33" s="38"/>
      <c r="CF33" s="49"/>
    </row>
    <row r="34" spans="1:84" ht="13.5">
      <c r="A34" s="22"/>
      <c r="C34" s="46"/>
      <c r="D34" s="2" t="s">
        <v>47</v>
      </c>
      <c r="E34" s="46"/>
      <c r="F34" s="46"/>
      <c r="G34" s="48" t="s">
        <v>21</v>
      </c>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23"/>
      <c r="BW34" s="23"/>
      <c r="BX34" s="23"/>
      <c r="BY34" s="23"/>
      <c r="BZ34" s="23"/>
      <c r="CA34" s="23"/>
      <c r="CB34" s="23"/>
      <c r="CC34" s="23"/>
      <c r="CD34" s="23"/>
      <c r="CE34" s="38"/>
      <c r="CF34" s="49"/>
    </row>
    <row r="35" spans="1:84" ht="13.5">
      <c r="A35" s="22"/>
      <c r="C35" s="46"/>
      <c r="D35"/>
      <c r="E35" s="46"/>
      <c r="F35" s="52"/>
      <c r="G35" s="51" t="s">
        <v>48</v>
      </c>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23"/>
      <c r="BW35" s="23"/>
      <c r="BX35" s="23"/>
      <c r="BY35" s="23"/>
      <c r="BZ35" s="23"/>
      <c r="CA35" s="23"/>
      <c r="CB35" s="23"/>
      <c r="CC35" s="23"/>
      <c r="CD35" s="23"/>
      <c r="CE35" s="38"/>
      <c r="CF35" s="49"/>
    </row>
    <row r="36" spans="1:84" ht="13.5">
      <c r="A36" s="22"/>
      <c r="C36" s="46"/>
      <c r="D36" s="254" t="s">
        <v>137</v>
      </c>
      <c r="E36" s="46"/>
      <c r="F36" s="53"/>
      <c r="G36" s="51" t="s">
        <v>49</v>
      </c>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23"/>
      <c r="BW36" s="23"/>
      <c r="BX36" s="23"/>
      <c r="BY36" s="23"/>
      <c r="BZ36" s="23"/>
      <c r="CA36" s="23"/>
      <c r="CB36" s="23"/>
      <c r="CC36" s="23"/>
      <c r="CD36" s="23"/>
      <c r="CE36" s="38"/>
      <c r="CF36" s="49"/>
    </row>
    <row r="37" spans="1:84" ht="13.5">
      <c r="A37" s="22"/>
      <c r="C37" s="2" t="s">
        <v>50</v>
      </c>
      <c r="D37" s="46"/>
      <c r="E37" s="46"/>
      <c r="F37" s="48" t="s">
        <v>21</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23"/>
      <c r="BW37" s="23"/>
      <c r="BX37" s="23"/>
      <c r="BY37" s="23"/>
      <c r="BZ37" s="23"/>
      <c r="CA37" s="23"/>
      <c r="CB37" s="23"/>
      <c r="CC37" s="23"/>
      <c r="CD37" s="23"/>
      <c r="CE37" s="38"/>
      <c r="CF37" s="49"/>
    </row>
    <row r="38" spans="1:84" ht="13.5">
      <c r="A38" s="22"/>
      <c r="C38"/>
      <c r="D38" s="46"/>
      <c r="E38" s="52"/>
      <c r="F38" s="51" t="s">
        <v>51</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23"/>
      <c r="BW38" s="23"/>
      <c r="BX38" s="23"/>
      <c r="BY38" s="23"/>
      <c r="BZ38" s="23"/>
      <c r="CA38" s="23"/>
      <c r="CB38" s="23"/>
      <c r="CC38" s="23"/>
      <c r="CD38" s="23"/>
      <c r="CE38" s="38"/>
      <c r="CF38" s="49"/>
    </row>
    <row r="39" spans="1:84" ht="13.5">
      <c r="A39" s="22"/>
      <c r="C39" s="253" t="s">
        <v>136</v>
      </c>
      <c r="D39" s="46"/>
      <c r="E39" s="53"/>
      <c r="F39" s="51" t="s">
        <v>52</v>
      </c>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23"/>
      <c r="BW39" s="23"/>
      <c r="BX39" s="23"/>
      <c r="BY39" s="23"/>
      <c r="BZ39" s="23"/>
      <c r="CA39" s="23"/>
      <c r="CB39" s="23"/>
      <c r="CC39" s="23"/>
      <c r="CD39" s="23"/>
      <c r="CE39" s="38"/>
      <c r="CF39" s="49"/>
    </row>
    <row r="40" spans="1:84" ht="13.5">
      <c r="A40" s="22"/>
      <c r="B40" s="22" t="s">
        <v>53</v>
      </c>
      <c r="C40" s="46"/>
      <c r="D40" s="46"/>
      <c r="E40" s="48" t="s">
        <v>21</v>
      </c>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23"/>
      <c r="BW40" s="23"/>
      <c r="BX40" s="23"/>
      <c r="BY40" s="23"/>
      <c r="BZ40" s="23"/>
      <c r="CA40" s="23"/>
      <c r="CB40" s="23"/>
      <c r="CC40" s="23"/>
      <c r="CD40" s="23"/>
      <c r="CE40" s="38"/>
      <c r="CF40" s="49"/>
    </row>
    <row r="41" spans="1:84" ht="13.5">
      <c r="A41" s="22"/>
      <c r="B41"/>
      <c r="C41" s="46"/>
      <c r="D41" s="52"/>
      <c r="E41" s="51" t="s">
        <v>54</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23"/>
      <c r="BW41" s="23"/>
      <c r="BX41" s="23"/>
      <c r="BY41" s="23"/>
      <c r="BZ41" s="23"/>
      <c r="CA41" s="23"/>
      <c r="CB41" s="23"/>
      <c r="CC41" s="23"/>
      <c r="CD41" s="23"/>
      <c r="CE41" s="38"/>
      <c r="CF41" s="49"/>
    </row>
    <row r="42" spans="1:84" ht="13.5">
      <c r="A42" s="22"/>
      <c r="B42" s="31" t="s">
        <v>135</v>
      </c>
      <c r="C42" s="46"/>
      <c r="D42" s="53"/>
      <c r="E42" s="98" t="s">
        <v>55</v>
      </c>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23"/>
      <c r="BW42" s="23"/>
      <c r="BX42" s="23"/>
      <c r="BY42" s="23"/>
      <c r="BZ42" s="23"/>
      <c r="CA42" s="23"/>
      <c r="CB42" s="23"/>
      <c r="CC42" s="23"/>
      <c r="CD42" s="23"/>
      <c r="CE42" s="38"/>
      <c r="CF42" s="49"/>
    </row>
    <row r="43" spans="1:84" ht="13.5">
      <c r="A43" s="22" t="s">
        <v>56</v>
      </c>
      <c r="C43" s="46"/>
      <c r="D43" s="48" t="s">
        <v>21</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23"/>
      <c r="BW43" s="23"/>
      <c r="BX43" s="23"/>
      <c r="BY43" s="23"/>
      <c r="BZ43" s="23"/>
      <c r="CA43" s="23"/>
      <c r="CB43" s="23"/>
      <c r="CC43" s="23"/>
      <c r="CD43" s="23"/>
      <c r="CE43" s="38"/>
      <c r="CF43" s="49"/>
    </row>
    <row r="44" spans="1:84" ht="13.5">
      <c r="A44"/>
      <c r="C44" s="52"/>
      <c r="D44" s="51" t="s">
        <v>57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23"/>
      <c r="BW44" s="23"/>
      <c r="BX44" s="23"/>
      <c r="BY44" s="23"/>
      <c r="BZ44" s="23"/>
      <c r="CA44" s="23"/>
      <c r="CB44" s="23"/>
      <c r="CC44" s="23"/>
      <c r="CD44" s="23"/>
      <c r="CE44" s="38"/>
      <c r="CF44" s="49"/>
    </row>
    <row r="45" spans="1:84" ht="13.5">
      <c r="A45" s="241" t="s">
        <v>134</v>
      </c>
      <c r="C45" s="53"/>
      <c r="D45" s="51" t="s">
        <v>58</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23"/>
      <c r="BW45" s="23"/>
      <c r="BX45" s="23"/>
      <c r="BY45" s="23"/>
      <c r="BZ45" s="23"/>
      <c r="CA45" s="23"/>
      <c r="CB45" s="23"/>
      <c r="CC45" s="23"/>
      <c r="CD45" s="23"/>
      <c r="CE45" s="38"/>
      <c r="CF45" s="49"/>
    </row>
    <row r="46" spans="1:84" ht="13.5">
      <c r="A46" s="22"/>
      <c r="C46" s="48" t="s">
        <v>21</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23"/>
      <c r="BW46" s="23"/>
      <c r="BX46" s="23"/>
      <c r="BY46" s="23"/>
      <c r="BZ46" s="23"/>
      <c r="CA46" s="23"/>
      <c r="CB46" s="23"/>
      <c r="CC46" s="23"/>
      <c r="CD46" s="23"/>
      <c r="CE46" s="38"/>
      <c r="CF46" s="49"/>
    </row>
    <row r="47" spans="1:84" ht="13.5">
      <c r="A47" s="22"/>
      <c r="B47" s="54"/>
      <c r="C47" s="51" t="s">
        <v>59</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23"/>
      <c r="BW47" s="23"/>
      <c r="BX47" s="23"/>
      <c r="BY47" s="23"/>
      <c r="BZ47" s="23"/>
      <c r="CA47" s="23"/>
      <c r="CB47" s="23"/>
      <c r="CC47" s="23"/>
      <c r="CD47" s="23"/>
      <c r="CE47" s="38"/>
      <c r="CF47" s="49"/>
    </row>
    <row r="48" spans="1:84" ht="13.5">
      <c r="A48" s="22"/>
      <c r="B48" s="50"/>
      <c r="C48" s="51" t="s">
        <v>60</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23"/>
      <c r="BW48" s="23"/>
      <c r="BX48" s="23"/>
      <c r="BY48" s="23"/>
      <c r="BZ48" s="23"/>
      <c r="CA48" s="23"/>
      <c r="CB48" s="23"/>
      <c r="CC48" s="23"/>
      <c r="CD48" s="23"/>
      <c r="CE48" s="38"/>
      <c r="CF48" s="49"/>
    </row>
    <row r="49" spans="1:84" ht="13.5">
      <c r="A49" s="22"/>
      <c r="B49" s="48" t="s">
        <v>21</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23"/>
      <c r="BW49" s="23"/>
      <c r="BX49" s="23"/>
      <c r="BY49" s="23"/>
      <c r="BZ49" s="23"/>
      <c r="CA49" s="23"/>
      <c r="CB49" s="23"/>
      <c r="CC49" s="23"/>
      <c r="CD49" s="23"/>
      <c r="CE49" s="38"/>
      <c r="CF49" s="49"/>
    </row>
    <row r="50" spans="1:84" ht="13.5">
      <c r="A50" s="55"/>
      <c r="B50" s="51" t="s">
        <v>61</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23"/>
      <c r="BW50" s="23"/>
      <c r="BX50" s="23"/>
      <c r="BY50" s="23"/>
      <c r="BZ50" s="23"/>
      <c r="CA50" s="23"/>
      <c r="CB50" s="23"/>
      <c r="CC50" s="23"/>
      <c r="CD50" s="23"/>
      <c r="CE50" s="38"/>
      <c r="CF50" s="49"/>
    </row>
    <row r="51" spans="1:84" ht="13.5">
      <c r="A51" s="50"/>
      <c r="B51" s="21" t="s">
        <v>62</v>
      </c>
      <c r="C51"/>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23"/>
      <c r="BW51" s="23"/>
      <c r="BX51" s="23"/>
      <c r="BY51" s="23"/>
      <c r="BZ51" s="23"/>
      <c r="CA51" s="23"/>
      <c r="CB51" s="23"/>
      <c r="CC51" s="23"/>
      <c r="CD51" s="23"/>
      <c r="CE51" s="38"/>
      <c r="CF51" s="49"/>
    </row>
    <row r="52" spans="1:84" ht="13.5">
      <c r="A52" s="48" t="s">
        <v>21</v>
      </c>
      <c r="B52"/>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23"/>
      <c r="BW52" s="23"/>
      <c r="BX52" s="23"/>
      <c r="BY52" s="23"/>
      <c r="BZ52" s="23"/>
      <c r="CA52" s="23"/>
      <c r="CB52" s="23"/>
      <c r="CC52" s="23"/>
      <c r="CD52" s="23"/>
      <c r="CE52" s="38"/>
      <c r="CF52" s="49"/>
    </row>
    <row r="53" spans="1:84" ht="13.5">
      <c r="A53" s="99" t="s">
        <v>63</v>
      </c>
      <c r="C53"/>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23"/>
      <c r="BW53" s="23"/>
      <c r="BX53" s="23"/>
      <c r="BY53" s="23"/>
      <c r="BZ53" s="23"/>
      <c r="CA53" s="23"/>
      <c r="CB53" s="23"/>
      <c r="CC53" s="23"/>
      <c r="CD53" s="23"/>
      <c r="CE53" s="38"/>
      <c r="CF53" s="49"/>
    </row>
    <row r="54" spans="1:84" ht="13.5">
      <c r="A54" s="41" t="s">
        <v>64</v>
      </c>
      <c r="B54"/>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23"/>
      <c r="BW54" s="23"/>
      <c r="BX54" s="23"/>
      <c r="BY54" s="23"/>
      <c r="BZ54" s="23"/>
      <c r="CA54" s="23"/>
      <c r="CB54" s="23"/>
      <c r="CC54" s="23"/>
      <c r="CD54" s="23"/>
      <c r="CE54" s="38"/>
      <c r="CF54" s="49"/>
    </row>
    <row r="55" spans="1:84" ht="13.5">
      <c r="A5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23"/>
      <c r="BW55" s="23"/>
      <c r="BX55" s="23"/>
      <c r="BY55" s="23"/>
      <c r="BZ55" s="23"/>
      <c r="CA55" s="23"/>
      <c r="CB55" s="23"/>
      <c r="CC55" s="23"/>
      <c r="CD55" s="23"/>
      <c r="CE55" s="38"/>
      <c r="CF55" s="49"/>
    </row>
    <row r="56" spans="1:84" ht="13.5">
      <c r="A56" s="22"/>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23"/>
      <c r="BW56" s="23"/>
      <c r="BX56" s="23"/>
      <c r="BY56" s="23"/>
      <c r="BZ56" s="23"/>
      <c r="CA56" s="23"/>
      <c r="CB56" s="23"/>
      <c r="CC56" s="23"/>
      <c r="CD56" s="23"/>
      <c r="CE56" s="38"/>
      <c r="CF56" s="49"/>
    </row>
    <row r="57" spans="1:84" ht="13.5">
      <c r="A57" s="22"/>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23"/>
      <c r="BW57" s="23"/>
      <c r="BX57" s="23"/>
      <c r="BY57" s="23"/>
      <c r="BZ57" s="23"/>
      <c r="CA57" s="23"/>
      <c r="CB57" s="23"/>
      <c r="CC57" s="23"/>
      <c r="CD57" s="23"/>
      <c r="CE57" s="38"/>
      <c r="CF57" s="49"/>
    </row>
    <row r="58" spans="1:84" ht="13.5">
      <c r="A58" s="22"/>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23"/>
      <c r="BW58" s="23"/>
      <c r="BX58" s="23"/>
      <c r="BY58" s="23"/>
      <c r="BZ58" s="23"/>
      <c r="CA58" s="23"/>
      <c r="CB58" s="23"/>
      <c r="CC58" s="23"/>
      <c r="CD58" s="23"/>
      <c r="CE58" s="38"/>
      <c r="CF58" s="49"/>
    </row>
    <row r="59" spans="1:84" ht="13.5">
      <c r="A59" s="22"/>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23"/>
      <c r="BW59" s="23"/>
      <c r="BX59" s="23"/>
      <c r="BY59" s="23"/>
      <c r="BZ59" s="23"/>
      <c r="CA59" s="23"/>
      <c r="CB59" s="23"/>
      <c r="CC59" s="23"/>
      <c r="CD59" s="23"/>
      <c r="CE59" s="38"/>
      <c r="CF59" s="49"/>
    </row>
    <row r="60" spans="1:84" ht="13.5">
      <c r="A60" s="22"/>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23"/>
      <c r="BW60" s="23"/>
      <c r="BX60" s="23"/>
      <c r="BY60" s="23"/>
      <c r="BZ60" s="23"/>
      <c r="CA60" s="23"/>
      <c r="CB60" s="23"/>
      <c r="CC60" s="23"/>
      <c r="CD60" s="23"/>
      <c r="CE60" s="38"/>
      <c r="CF60" s="49"/>
    </row>
    <row r="61" spans="1:84" ht="13.5">
      <c r="A61" s="22"/>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23"/>
      <c r="BW61" s="23"/>
      <c r="BX61" s="23"/>
      <c r="BY61" s="23"/>
      <c r="BZ61" s="23"/>
      <c r="CA61" s="23"/>
      <c r="CB61" s="23"/>
      <c r="CC61" s="23"/>
      <c r="CD61" s="23"/>
      <c r="CE61" s="38"/>
      <c r="CF61" s="49"/>
    </row>
    <row r="62" spans="1:84" ht="13.5">
      <c r="A62" s="22"/>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23"/>
      <c r="BW62" s="23"/>
      <c r="BX62" s="23"/>
      <c r="BY62" s="23"/>
      <c r="BZ62" s="23"/>
      <c r="CA62" s="23"/>
      <c r="CB62" s="23"/>
      <c r="CC62" s="23"/>
      <c r="CD62" s="23"/>
      <c r="CE62" s="38"/>
      <c r="CF62" s="49"/>
    </row>
    <row r="63" spans="1:84" ht="13.5">
      <c r="A63" s="22"/>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23"/>
      <c r="BW63" s="23"/>
      <c r="BX63" s="23"/>
      <c r="BY63" s="23"/>
      <c r="BZ63" s="23"/>
      <c r="CA63" s="23"/>
      <c r="CB63" s="23"/>
      <c r="CC63" s="23"/>
      <c r="CD63" s="23"/>
      <c r="CE63" s="38"/>
      <c r="CF63" s="49"/>
    </row>
    <row r="64" spans="1:84" ht="13.5">
      <c r="A64" s="22"/>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23"/>
      <c r="BW64" s="23"/>
      <c r="BX64" s="23"/>
      <c r="BY64" s="23"/>
      <c r="BZ64" s="23"/>
      <c r="CA64" s="23"/>
      <c r="CB64" s="23"/>
      <c r="CC64" s="23"/>
      <c r="CD64" s="23"/>
      <c r="CE64" s="38"/>
      <c r="CF64" s="49"/>
    </row>
    <row r="65" spans="1:84" ht="13.5">
      <c r="A65" s="22"/>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23"/>
      <c r="BW65" s="23"/>
      <c r="BX65" s="23"/>
      <c r="BY65" s="23"/>
      <c r="BZ65" s="23"/>
      <c r="CA65" s="23"/>
      <c r="CB65" s="23"/>
      <c r="CC65" s="23"/>
      <c r="CD65" s="23"/>
      <c r="CE65" s="38"/>
      <c r="CF65" s="49"/>
    </row>
    <row r="66" spans="1:84" ht="13.5">
      <c r="A66" s="22"/>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23"/>
      <c r="BW66" s="23"/>
      <c r="BX66" s="23"/>
      <c r="BY66" s="23"/>
      <c r="BZ66" s="23"/>
      <c r="CA66" s="23"/>
      <c r="CB66" s="23"/>
      <c r="CC66" s="23"/>
      <c r="CD66" s="23"/>
      <c r="CE66" s="38"/>
      <c r="CF66" s="49"/>
    </row>
    <row r="67" spans="1:84" ht="13.5">
      <c r="A67" s="22"/>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23"/>
      <c r="BW67" s="23"/>
      <c r="BX67" s="23"/>
      <c r="BY67" s="23"/>
      <c r="BZ67" s="23"/>
      <c r="CA67" s="23"/>
      <c r="CB67" s="23"/>
      <c r="CC67" s="23"/>
      <c r="CD67" s="23"/>
      <c r="CE67" s="38"/>
      <c r="CF67" s="49"/>
    </row>
    <row r="68" spans="1:84" ht="13.5">
      <c r="A68" s="22"/>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23"/>
      <c r="BW68" s="23"/>
      <c r="BX68" s="23"/>
      <c r="BY68" s="23"/>
      <c r="BZ68" s="23"/>
      <c r="CA68" s="23"/>
      <c r="CB68" s="23"/>
      <c r="CC68" s="23"/>
      <c r="CD68" s="23"/>
      <c r="CE68" s="38"/>
      <c r="CF68" s="49"/>
    </row>
    <row r="69" spans="1:84" ht="13.5">
      <c r="A69" s="22"/>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23"/>
      <c r="BW69" s="23"/>
      <c r="BX69" s="23"/>
      <c r="BY69" s="23"/>
      <c r="BZ69" s="23"/>
      <c r="CA69" s="23"/>
      <c r="CB69" s="23"/>
      <c r="CC69" s="23"/>
      <c r="CD69" s="23"/>
      <c r="CE69" s="38"/>
      <c r="CF69" s="49"/>
    </row>
    <row r="70" spans="1:84" ht="13.5">
      <c r="A70" s="22"/>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23"/>
      <c r="BW70" s="23"/>
      <c r="BX70" s="23"/>
      <c r="BY70" s="23"/>
      <c r="BZ70" s="23"/>
      <c r="CA70" s="23"/>
      <c r="CB70" s="23"/>
      <c r="CC70" s="23"/>
      <c r="CD70" s="23"/>
      <c r="CE70" s="38"/>
      <c r="CF70" s="49"/>
    </row>
    <row r="71" spans="1:84" ht="13.5">
      <c r="A71" s="22"/>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23"/>
      <c r="BW71" s="23"/>
      <c r="BX71" s="23"/>
      <c r="BY71" s="23"/>
      <c r="BZ71" s="23"/>
      <c r="CA71" s="23"/>
      <c r="CB71" s="23"/>
      <c r="CC71" s="23"/>
      <c r="CD71" s="23"/>
      <c r="CE71" s="38"/>
      <c r="CF71" s="49"/>
    </row>
    <row r="72" spans="1:84" ht="13.5">
      <c r="A72" s="22"/>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23"/>
      <c r="BW72" s="23"/>
      <c r="BX72" s="23"/>
      <c r="BY72" s="23"/>
      <c r="BZ72" s="23"/>
      <c r="CA72" s="23"/>
      <c r="CB72" s="23"/>
      <c r="CC72" s="23"/>
      <c r="CD72" s="23"/>
      <c r="CE72" s="38"/>
      <c r="CF72" s="49"/>
    </row>
    <row r="73" spans="1:84" ht="13.5">
      <c r="A73" s="22"/>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23"/>
      <c r="BW73" s="23"/>
      <c r="BX73" s="23"/>
      <c r="BY73" s="23"/>
      <c r="BZ73" s="23"/>
      <c r="CA73" s="23"/>
      <c r="CB73" s="23"/>
      <c r="CC73" s="23"/>
      <c r="CD73" s="23"/>
      <c r="CE73" s="38"/>
      <c r="CF73" s="49"/>
    </row>
    <row r="74" spans="1:84" ht="13.5">
      <c r="A74" s="22"/>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23"/>
      <c r="BW74" s="23"/>
      <c r="BX74" s="23"/>
      <c r="BY74" s="23"/>
      <c r="BZ74" s="23"/>
      <c r="CA74" s="23"/>
      <c r="CB74" s="23"/>
      <c r="CC74" s="23"/>
      <c r="CD74" s="23"/>
      <c r="CE74" s="38"/>
      <c r="CF74" s="49"/>
    </row>
    <row r="75" spans="1:84" ht="13.5">
      <c r="A75" s="22"/>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23"/>
      <c r="BW75" s="23"/>
      <c r="BX75" s="23"/>
      <c r="BY75" s="23"/>
      <c r="BZ75" s="23"/>
      <c r="CA75" s="23"/>
      <c r="CB75" s="23"/>
      <c r="CC75" s="23"/>
      <c r="CD75" s="23"/>
      <c r="CE75" s="38"/>
      <c r="CF75" s="49"/>
    </row>
    <row r="76" spans="1:84" ht="13.5">
      <c r="A76" s="22"/>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23"/>
      <c r="BW76" s="23"/>
      <c r="BX76" s="23"/>
      <c r="BY76" s="23"/>
      <c r="BZ76" s="23"/>
      <c r="CA76" s="23"/>
      <c r="CB76" s="23"/>
      <c r="CC76" s="23"/>
      <c r="CD76" s="23"/>
      <c r="CE76" s="38"/>
      <c r="CF76" s="49"/>
    </row>
    <row r="77" spans="1:84" ht="13.5">
      <c r="A77" s="22"/>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23"/>
      <c r="BW77" s="23"/>
      <c r="BX77" s="23"/>
      <c r="BY77" s="23"/>
      <c r="BZ77" s="23"/>
      <c r="CA77" s="23"/>
      <c r="CB77" s="23"/>
      <c r="CC77" s="23"/>
      <c r="CD77" s="23"/>
      <c r="CE77" s="38"/>
      <c r="CF77" s="49"/>
    </row>
    <row r="78" spans="1:84" ht="13.5">
      <c r="A78" s="22"/>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23"/>
      <c r="BW78" s="23"/>
      <c r="BX78" s="23"/>
      <c r="BY78" s="23"/>
      <c r="BZ78" s="23"/>
      <c r="CA78" s="23"/>
      <c r="CB78" s="23"/>
      <c r="CC78" s="23"/>
      <c r="CD78" s="23"/>
      <c r="CE78" s="38"/>
      <c r="CF78" s="49"/>
    </row>
    <row r="79" spans="1:84" ht="13.5">
      <c r="A79" s="22"/>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23"/>
      <c r="BW79" s="23"/>
      <c r="BX79" s="23"/>
      <c r="BY79" s="23"/>
      <c r="BZ79" s="23"/>
      <c r="CA79" s="23"/>
      <c r="CB79" s="23"/>
      <c r="CC79" s="23"/>
      <c r="CD79" s="23"/>
      <c r="CE79" s="38"/>
      <c r="CF79" s="49"/>
    </row>
    <row r="80" spans="1:84" ht="13.5">
      <c r="A80" s="22"/>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23"/>
      <c r="BW80" s="23"/>
      <c r="BX80" s="23"/>
      <c r="BY80" s="23"/>
      <c r="BZ80" s="23"/>
      <c r="CA80" s="23"/>
      <c r="CB80" s="23"/>
      <c r="CC80" s="23"/>
      <c r="CD80" s="23"/>
      <c r="CE80" s="38"/>
      <c r="CF80" s="49"/>
    </row>
    <row r="81" spans="1:84" ht="13.5">
      <c r="A81" s="22"/>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23"/>
      <c r="BW81" s="23"/>
      <c r="BX81" s="23"/>
      <c r="BY81" s="23"/>
      <c r="BZ81" s="23"/>
      <c r="CA81" s="23"/>
      <c r="CB81" s="23"/>
      <c r="CC81" s="23"/>
      <c r="CD81" s="23"/>
      <c r="CE81" s="38"/>
      <c r="CF81" s="49"/>
    </row>
    <row r="82" spans="1:84" ht="13.5">
      <c r="A82" s="22"/>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23"/>
      <c r="BW82" s="23"/>
      <c r="BX82" s="23"/>
      <c r="BY82" s="23"/>
      <c r="BZ82" s="23"/>
      <c r="CA82" s="23"/>
      <c r="CB82" s="23"/>
      <c r="CC82" s="23"/>
      <c r="CD82" s="23"/>
      <c r="CE82" s="38"/>
      <c r="CF82" s="49"/>
    </row>
    <row r="83" spans="1:84" ht="13.5">
      <c r="A83" s="22"/>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23"/>
      <c r="BW83" s="23"/>
      <c r="BX83" s="23"/>
      <c r="BY83" s="23"/>
      <c r="BZ83" s="23"/>
      <c r="CA83" s="23"/>
      <c r="CB83" s="23"/>
      <c r="CC83" s="23"/>
      <c r="CD83" s="23"/>
      <c r="CE83" s="38"/>
      <c r="CF83" s="49"/>
    </row>
    <row r="84" spans="1:84" ht="13.5">
      <c r="A84" s="22"/>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23"/>
      <c r="BW84" s="23"/>
      <c r="BX84" s="23"/>
      <c r="BY84" s="23"/>
      <c r="BZ84" s="23"/>
      <c r="CA84" s="23"/>
      <c r="CB84" s="23"/>
      <c r="CC84" s="23"/>
      <c r="CD84" s="23"/>
      <c r="CE84" s="38"/>
      <c r="CF84" s="49"/>
    </row>
    <row r="85" spans="1:84" ht="13.5">
      <c r="A85" s="22"/>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23"/>
      <c r="BW85" s="23"/>
      <c r="BX85" s="23"/>
      <c r="BY85" s="23"/>
      <c r="BZ85" s="23"/>
      <c r="CA85" s="23"/>
      <c r="CB85" s="23"/>
      <c r="CC85" s="23"/>
      <c r="CD85" s="23"/>
      <c r="CE85" s="38"/>
      <c r="CF85" s="49"/>
    </row>
    <row r="86" spans="1:84" ht="13.5">
      <c r="A86" s="22"/>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23"/>
      <c r="BW86" s="23"/>
      <c r="BX86" s="23"/>
      <c r="BY86" s="23"/>
      <c r="BZ86" s="23"/>
      <c r="CA86" s="23"/>
      <c r="CB86" s="23"/>
      <c r="CC86" s="23"/>
      <c r="CD86" s="23"/>
      <c r="CE86" s="38"/>
      <c r="CF86" s="49"/>
    </row>
    <row r="87" spans="1:84" ht="13.5">
      <c r="A87" s="22"/>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23"/>
      <c r="BW87" s="23"/>
      <c r="BX87" s="23"/>
      <c r="BY87" s="23"/>
      <c r="BZ87" s="23"/>
      <c r="CA87" s="23"/>
      <c r="CB87" s="23"/>
      <c r="CC87" s="23"/>
      <c r="CD87" s="23"/>
      <c r="CE87" s="38"/>
      <c r="CF87" s="49"/>
    </row>
    <row r="88" spans="1:84" ht="13.5">
      <c r="A88" s="22"/>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23"/>
      <c r="BW88" s="23"/>
      <c r="BX88" s="23"/>
      <c r="BY88" s="23"/>
      <c r="BZ88" s="23"/>
      <c r="CA88" s="23"/>
      <c r="CB88" s="23"/>
      <c r="CC88" s="23"/>
      <c r="CD88" s="23"/>
      <c r="CE88" s="38"/>
      <c r="CF88" s="49"/>
    </row>
    <row r="89" spans="1:84" ht="13.5">
      <c r="A89" s="22"/>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23"/>
      <c r="BW89" s="23"/>
      <c r="BX89" s="23"/>
      <c r="BY89" s="23"/>
      <c r="BZ89" s="23"/>
      <c r="CA89" s="23"/>
      <c r="CB89" s="23"/>
      <c r="CC89" s="23"/>
      <c r="CD89" s="23"/>
      <c r="CE89" s="38"/>
      <c r="CF89" s="49"/>
    </row>
    <row r="90" spans="1:84" ht="13.5">
      <c r="A90" s="22"/>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23"/>
      <c r="BW90" s="23"/>
      <c r="BX90" s="23"/>
      <c r="BY90" s="23"/>
      <c r="BZ90" s="23"/>
      <c r="CA90" s="23"/>
      <c r="CB90" s="23"/>
      <c r="CC90" s="23"/>
      <c r="CD90" s="23"/>
      <c r="CE90" s="38"/>
      <c r="CF90" s="49"/>
    </row>
    <row r="91" spans="1:84" ht="13.5">
      <c r="A91" s="22"/>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23"/>
      <c r="BW91" s="23"/>
      <c r="BX91" s="23"/>
      <c r="BY91" s="23"/>
      <c r="BZ91" s="23"/>
      <c r="CA91" s="23"/>
      <c r="CB91" s="23"/>
      <c r="CC91" s="23"/>
      <c r="CD91" s="23"/>
      <c r="CE91" s="38"/>
      <c r="CF91" s="49"/>
    </row>
    <row r="92" spans="1:84" ht="13.5">
      <c r="A92" s="22"/>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23"/>
      <c r="BW92" s="23"/>
      <c r="BX92" s="23"/>
      <c r="BY92" s="23"/>
      <c r="BZ92" s="23"/>
      <c r="CA92" s="23"/>
      <c r="CB92" s="23"/>
      <c r="CC92" s="23"/>
      <c r="CD92" s="23"/>
      <c r="CE92" s="38"/>
      <c r="CF92" s="49"/>
    </row>
    <row r="93" spans="1:84" ht="13.5">
      <c r="A93" s="22"/>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23"/>
      <c r="BW93" s="23"/>
      <c r="BX93" s="23"/>
      <c r="BY93" s="23"/>
      <c r="BZ93" s="23"/>
      <c r="CA93" s="23"/>
      <c r="CB93" s="23"/>
      <c r="CC93" s="23"/>
      <c r="CD93" s="23"/>
      <c r="CE93" s="38"/>
      <c r="CF93" s="49"/>
    </row>
    <row r="94" spans="1:84" ht="13.5">
      <c r="A94" s="22"/>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23"/>
      <c r="BW94" s="23"/>
      <c r="BX94" s="23"/>
      <c r="BY94" s="23"/>
      <c r="BZ94" s="23"/>
      <c r="CA94" s="23"/>
      <c r="CB94" s="23"/>
      <c r="CC94" s="23"/>
      <c r="CD94" s="23"/>
      <c r="CE94" s="38"/>
      <c r="CF94" s="49"/>
    </row>
    <row r="95" spans="1:84" ht="13.5">
      <c r="A95" s="22"/>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23"/>
      <c r="BW95" s="23"/>
      <c r="BX95" s="23"/>
      <c r="BY95" s="23"/>
      <c r="BZ95" s="23"/>
      <c r="CA95" s="23"/>
      <c r="CB95" s="23"/>
      <c r="CC95" s="23"/>
      <c r="CD95" s="23"/>
      <c r="CE95" s="38"/>
      <c r="CF95" s="49"/>
    </row>
    <row r="96" spans="1:84" ht="13.5">
      <c r="A96" s="22"/>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23"/>
      <c r="BW96" s="23"/>
      <c r="BX96" s="23"/>
      <c r="BY96" s="23"/>
      <c r="BZ96" s="23"/>
      <c r="CA96" s="23"/>
      <c r="CB96" s="23"/>
      <c r="CC96" s="23"/>
      <c r="CD96" s="23"/>
      <c r="CE96" s="38"/>
      <c r="CF96" s="49"/>
    </row>
    <row r="97" spans="1:84" ht="13.5">
      <c r="A97" s="22"/>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23"/>
      <c r="BW97" s="23"/>
      <c r="BX97" s="23"/>
      <c r="BY97" s="23"/>
      <c r="BZ97" s="23"/>
      <c r="CA97" s="23"/>
      <c r="CB97" s="23"/>
      <c r="CC97" s="23"/>
      <c r="CD97" s="23"/>
      <c r="CE97" s="38"/>
      <c r="CF97" s="49"/>
    </row>
    <row r="98" spans="1:84" ht="13.5">
      <c r="A98" s="22"/>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23"/>
      <c r="BW98" s="23"/>
      <c r="BX98" s="23"/>
      <c r="BY98" s="23"/>
      <c r="BZ98" s="23"/>
      <c r="CA98" s="23"/>
      <c r="CB98" s="23"/>
      <c r="CC98" s="23"/>
      <c r="CD98" s="23"/>
      <c r="CE98" s="38"/>
      <c r="CF98" s="49"/>
    </row>
    <row r="99" spans="1:84" ht="13.5">
      <c r="A99" s="22"/>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23"/>
      <c r="BW99" s="23"/>
      <c r="BX99" s="23"/>
      <c r="BY99" s="23"/>
      <c r="BZ99" s="23"/>
      <c r="CA99" s="23"/>
      <c r="CB99" s="23"/>
      <c r="CC99" s="23"/>
      <c r="CD99" s="23"/>
      <c r="CE99" s="38"/>
      <c r="CF99" s="49"/>
    </row>
    <row r="100" spans="1:84" ht="13.5">
      <c r="A100" s="22"/>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23"/>
      <c r="BW100" s="23"/>
      <c r="BX100" s="23"/>
      <c r="BY100" s="23"/>
      <c r="BZ100" s="23"/>
      <c r="CA100" s="23"/>
      <c r="CB100" s="23"/>
      <c r="CC100" s="23"/>
      <c r="CD100" s="23"/>
      <c r="CE100" s="38"/>
      <c r="CF100" s="49"/>
    </row>
    <row r="101" spans="1:84" ht="13.5">
      <c r="A101" s="22"/>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23"/>
      <c r="BW101" s="23"/>
      <c r="BX101" s="23"/>
      <c r="BY101" s="23"/>
      <c r="BZ101" s="23"/>
      <c r="CA101" s="23"/>
      <c r="CB101" s="23"/>
      <c r="CC101" s="23"/>
      <c r="CD101" s="23"/>
      <c r="CE101" s="38"/>
      <c r="CF101" s="49"/>
    </row>
    <row r="102" spans="1:84" ht="13.5">
      <c r="A102" s="22"/>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23"/>
      <c r="BW102" s="23"/>
      <c r="BX102" s="23"/>
      <c r="BY102" s="23"/>
      <c r="BZ102" s="23"/>
      <c r="CA102" s="23"/>
      <c r="CB102" s="23"/>
      <c r="CC102" s="23"/>
      <c r="CD102" s="23"/>
      <c r="CE102" s="38"/>
      <c r="CF102" s="49"/>
    </row>
    <row r="103" spans="1:84" ht="13.5">
      <c r="A103" s="22"/>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23"/>
      <c r="BW103" s="23"/>
      <c r="BX103" s="23"/>
      <c r="BY103" s="23"/>
      <c r="BZ103" s="23"/>
      <c r="CA103" s="23"/>
      <c r="CB103" s="23"/>
      <c r="CC103" s="23"/>
      <c r="CD103" s="23"/>
      <c r="CE103" s="38"/>
      <c r="CF103" s="49"/>
    </row>
    <row r="104" spans="1:84" ht="13.5">
      <c r="A104" s="22"/>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23"/>
      <c r="BW104" s="23"/>
      <c r="BX104" s="23"/>
      <c r="BY104" s="23"/>
      <c r="BZ104" s="23"/>
      <c r="CA104" s="23"/>
      <c r="CB104" s="23"/>
      <c r="CC104" s="23"/>
      <c r="CD104" s="23"/>
      <c r="CE104" s="38"/>
      <c r="CF104" s="49"/>
    </row>
    <row r="105" spans="1:84" ht="13.5">
      <c r="A105" s="22"/>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23"/>
      <c r="BW105" s="23"/>
      <c r="BX105" s="23"/>
      <c r="BY105" s="23"/>
      <c r="BZ105" s="23"/>
      <c r="CA105" s="23"/>
      <c r="CB105" s="23"/>
      <c r="CC105" s="23"/>
      <c r="CD105" s="23"/>
      <c r="CE105" s="38"/>
      <c r="CF105" s="49"/>
    </row>
    <row r="106" spans="1:84" ht="13.5">
      <c r="A106" s="22"/>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23"/>
      <c r="BW106" s="23"/>
      <c r="BX106" s="23"/>
      <c r="BY106" s="23"/>
      <c r="BZ106" s="23"/>
      <c r="CA106" s="23"/>
      <c r="CB106" s="23"/>
      <c r="CC106" s="23"/>
      <c r="CD106" s="23"/>
      <c r="CE106" s="38"/>
      <c r="CF106" s="49"/>
    </row>
    <row r="107" spans="1:84" ht="13.5">
      <c r="A107" s="22"/>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23"/>
      <c r="BW107" s="23"/>
      <c r="BX107" s="23"/>
      <c r="BY107" s="23"/>
      <c r="BZ107" s="23"/>
      <c r="CA107" s="23"/>
      <c r="CB107" s="23"/>
      <c r="CC107" s="23"/>
      <c r="CD107" s="23"/>
      <c r="CE107" s="38"/>
      <c r="CF107" s="49"/>
    </row>
    <row r="108" spans="1:84" ht="13.5">
      <c r="A108" s="22"/>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23"/>
      <c r="BW108" s="23"/>
      <c r="BX108" s="23"/>
      <c r="BY108" s="23"/>
      <c r="BZ108" s="23"/>
      <c r="CA108" s="23"/>
      <c r="CB108" s="23"/>
      <c r="CC108" s="23"/>
      <c r="CD108" s="23"/>
      <c r="CE108" s="38"/>
      <c r="CF108" s="49"/>
    </row>
    <row r="109" spans="1:84" ht="13.5">
      <c r="A109" s="22"/>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23"/>
      <c r="BW109" s="23"/>
      <c r="BX109" s="23"/>
      <c r="BY109" s="23"/>
      <c r="BZ109" s="23"/>
      <c r="CA109" s="23"/>
      <c r="CB109" s="23"/>
      <c r="CC109" s="23"/>
      <c r="CD109" s="23"/>
      <c r="CE109" s="38"/>
      <c r="CF109" s="49"/>
    </row>
    <row r="110" spans="1:84" ht="13.5">
      <c r="A110" s="22"/>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23"/>
      <c r="BW110" s="23"/>
      <c r="BX110" s="23"/>
      <c r="BY110" s="23"/>
      <c r="BZ110" s="23"/>
      <c r="CA110" s="23"/>
      <c r="CB110" s="23"/>
      <c r="CC110" s="23"/>
      <c r="CD110" s="23"/>
      <c r="CE110" s="38"/>
      <c r="CF110" s="49"/>
    </row>
    <row r="111" spans="1:84" ht="13.5">
      <c r="A111" s="22"/>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23"/>
      <c r="BW111" s="23"/>
      <c r="BX111" s="23"/>
      <c r="BY111" s="23"/>
      <c r="BZ111" s="23"/>
      <c r="CA111" s="23"/>
      <c r="CB111" s="23"/>
      <c r="CC111" s="23"/>
      <c r="CD111" s="23"/>
      <c r="CE111" s="38"/>
      <c r="CF111" s="49"/>
    </row>
    <row r="112" spans="1:84" ht="13.5">
      <c r="A112" s="22"/>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23"/>
      <c r="BW112" s="23"/>
      <c r="BX112" s="23"/>
      <c r="BY112" s="23"/>
      <c r="BZ112" s="23"/>
      <c r="CA112" s="23"/>
      <c r="CB112" s="23"/>
      <c r="CC112" s="23"/>
      <c r="CD112" s="23"/>
      <c r="CE112" s="38"/>
      <c r="CF112" s="49"/>
    </row>
    <row r="113" spans="1:84" ht="13.5">
      <c r="A113" s="22"/>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23"/>
      <c r="BW113" s="23"/>
      <c r="BX113" s="23"/>
      <c r="BY113" s="23"/>
      <c r="BZ113" s="23"/>
      <c r="CA113" s="23"/>
      <c r="CB113" s="23"/>
      <c r="CC113" s="23"/>
      <c r="CD113" s="23"/>
      <c r="CE113" s="23"/>
      <c r="CF113" s="49"/>
    </row>
    <row r="114" spans="1:84" ht="13.5">
      <c r="A114" s="31"/>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33"/>
      <c r="BW114" s="33"/>
      <c r="BX114" s="33"/>
      <c r="BY114" s="33"/>
      <c r="BZ114" s="33"/>
      <c r="CA114" s="33"/>
      <c r="CB114" s="33"/>
      <c r="CC114" s="33"/>
      <c r="CD114" s="33"/>
      <c r="CE114" s="33"/>
      <c r="CF114" s="56"/>
    </row>
    <row r="115" spans="3:83" ht="13.5">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57"/>
      <c r="BW115" s="57"/>
      <c r="BX115" s="57"/>
      <c r="BY115" s="57"/>
      <c r="BZ115" s="57"/>
      <c r="CA115" s="57"/>
      <c r="CB115" s="57"/>
      <c r="CC115" s="57"/>
      <c r="CD115" s="57"/>
      <c r="CE115" s="57"/>
    </row>
    <row r="116" spans="1:84" ht="13.5">
      <c r="A116" s="22"/>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25"/>
      <c r="BW116" s="25"/>
      <c r="BX116" s="25"/>
      <c r="BY116" s="25"/>
      <c r="BZ116" s="25"/>
      <c r="CA116" s="25"/>
      <c r="CB116" s="25"/>
      <c r="CC116" s="25"/>
      <c r="CD116" s="25"/>
      <c r="CE116" s="25"/>
      <c r="CF116" s="25"/>
    </row>
    <row r="117" ht="13.5">
      <c r="D117" s="46"/>
    </row>
  </sheetData>
  <sheetProtection/>
  <printOptions/>
  <pageMargins left="0.75" right="0.75" top="1" bottom="1" header="0.5" footer="0.5"/>
  <pageSetup fitToHeight="1" fitToWidth="1" orientation="portrait" scale="42"/>
  <headerFooter alignWithMargins="0">
    <oddHeader>&amp;C&amp;A</oddHeader>
    <oddFooter>&amp;C&amp;D</oddFooter>
  </headerFooter>
  <drawing r:id="rId1"/>
</worksheet>
</file>

<file path=xl/worksheets/sheet3.xml><?xml version="1.0" encoding="utf-8"?>
<worksheet xmlns="http://schemas.openxmlformats.org/spreadsheetml/2006/main" xmlns:r="http://schemas.openxmlformats.org/officeDocument/2006/relationships">
  <dimension ref="A1:O36"/>
  <sheetViews>
    <sheetView zoomScalePageLayoutView="0" workbookViewId="0" topLeftCell="A1">
      <selection activeCell="B9" sqref="B9"/>
    </sheetView>
  </sheetViews>
  <sheetFormatPr defaultColWidth="11.375" defaultRowHeight="12.75"/>
  <cols>
    <col min="1" max="2" width="10.75390625" style="0" customWidth="1"/>
    <col min="3" max="3" width="8.875" style="81" customWidth="1"/>
    <col min="4" max="10" width="5.75390625" style="40" customWidth="1"/>
    <col min="11" max="11" width="6.375" style="40" customWidth="1"/>
    <col min="12" max="14" width="5.75390625" style="40" customWidth="1"/>
    <col min="15" max="15" width="7.625" style="40" customWidth="1"/>
  </cols>
  <sheetData>
    <row r="1" spans="1:15" ht="13.5">
      <c r="A1" s="108" t="s">
        <v>65</v>
      </c>
      <c r="B1" s="109"/>
      <c r="C1"/>
      <c r="D1"/>
      <c r="E1"/>
      <c r="F1"/>
      <c r="G1"/>
      <c r="H1"/>
      <c r="I1"/>
      <c r="J1"/>
      <c r="K1"/>
      <c r="L1"/>
      <c r="M1"/>
      <c r="N1"/>
      <c r="O1"/>
    </row>
    <row r="2" spans="1:15" s="59" customFormat="1" ht="16.5">
      <c r="A2" s="58" t="s">
        <v>66</v>
      </c>
      <c r="B2" s="110" t="s">
        <v>130</v>
      </c>
      <c r="C2"/>
      <c r="D2"/>
      <c r="E2"/>
      <c r="F2"/>
      <c r="G2"/>
      <c r="H2"/>
      <c r="I2"/>
      <c r="J2"/>
      <c r="K2"/>
      <c r="L2"/>
      <c r="M2"/>
      <c r="N2"/>
      <c r="O2"/>
    </row>
    <row r="3" spans="1:15" ht="13.5">
      <c r="A3" s="58" t="s">
        <v>67</v>
      </c>
      <c r="B3" s="109" t="s">
        <v>68</v>
      </c>
      <c r="C3"/>
      <c r="D3"/>
      <c r="E3"/>
      <c r="F3"/>
      <c r="G3"/>
      <c r="H3"/>
      <c r="I3"/>
      <c r="J3"/>
      <c r="K3"/>
      <c r="L3"/>
      <c r="M3"/>
      <c r="N3"/>
      <c r="O3"/>
    </row>
    <row r="4" spans="1:15" ht="13.5">
      <c r="A4" s="58" t="s">
        <v>69</v>
      </c>
      <c r="B4" s="109" t="s">
        <v>70</v>
      </c>
      <c r="C4"/>
      <c r="D4"/>
      <c r="E4"/>
      <c r="F4"/>
      <c r="G4"/>
      <c r="H4"/>
      <c r="I4"/>
      <c r="J4"/>
      <c r="K4"/>
      <c r="L4"/>
      <c r="M4"/>
      <c r="N4"/>
      <c r="O4"/>
    </row>
    <row r="5" spans="1:15" ht="13.5">
      <c r="A5" s="102"/>
      <c r="B5" s="102" t="s">
        <v>129</v>
      </c>
      <c r="C5"/>
      <c r="D5"/>
      <c r="E5"/>
      <c r="F5"/>
      <c r="G5"/>
      <c r="H5"/>
      <c r="I5"/>
      <c r="J5"/>
      <c r="K5"/>
      <c r="L5"/>
      <c r="M5"/>
      <c r="N5"/>
      <c r="O5"/>
    </row>
    <row r="6" spans="1:15" ht="13.5" customHeight="1">
      <c r="A6" s="102"/>
      <c r="B6" s="103" t="s">
        <v>128</v>
      </c>
      <c r="C6" s="100"/>
      <c r="D6" s="100"/>
      <c r="E6" s="100"/>
      <c r="F6" s="100"/>
      <c r="G6" s="100"/>
      <c r="H6" s="100"/>
      <c r="I6" s="100"/>
      <c r="J6" s="100"/>
      <c r="K6" s="100"/>
      <c r="L6" s="100"/>
      <c r="M6" s="100"/>
      <c r="N6" s="100"/>
      <c r="O6" s="100"/>
    </row>
    <row r="7" spans="1:15" ht="15" customHeight="1">
      <c r="A7" s="58" t="s">
        <v>71</v>
      </c>
      <c r="B7" s="102" t="s">
        <v>131</v>
      </c>
      <c r="C7"/>
      <c r="D7"/>
      <c r="E7"/>
      <c r="F7"/>
      <c r="G7"/>
      <c r="H7"/>
      <c r="I7"/>
      <c r="J7"/>
      <c r="K7"/>
      <c r="L7"/>
      <c r="M7"/>
      <c r="N7"/>
      <c r="O7"/>
    </row>
    <row r="8" spans="1:15" ht="15.75" customHeight="1">
      <c r="A8" s="58"/>
      <c r="B8" s="103" t="s">
        <v>132</v>
      </c>
      <c r="C8" s="100"/>
      <c r="D8" s="100"/>
      <c r="E8" s="100"/>
      <c r="F8" s="100"/>
      <c r="G8" s="100"/>
      <c r="H8" s="100"/>
      <c r="I8"/>
      <c r="J8"/>
      <c r="K8"/>
      <c r="L8"/>
      <c r="M8"/>
      <c r="N8"/>
      <c r="O8"/>
    </row>
    <row r="9" spans="1:15" ht="13.5">
      <c r="A9" s="102"/>
      <c r="B9" s="102"/>
      <c r="C9"/>
      <c r="D9"/>
      <c r="E9"/>
      <c r="F9"/>
      <c r="G9"/>
      <c r="H9"/>
      <c r="I9"/>
      <c r="J9"/>
      <c r="K9"/>
      <c r="L9"/>
      <c r="M9"/>
      <c r="N9"/>
      <c r="O9"/>
    </row>
    <row r="10" spans="1:15" ht="15" thickBot="1">
      <c r="A10" s="102"/>
      <c r="B10" s="102" t="s">
        <v>72</v>
      </c>
      <c r="C10"/>
      <c r="D10"/>
      <c r="E10"/>
      <c r="F10"/>
      <c r="G10"/>
      <c r="H10"/>
      <c r="I10"/>
      <c r="J10"/>
      <c r="K10"/>
      <c r="L10"/>
      <c r="M10"/>
      <c r="N10"/>
      <c r="O10"/>
    </row>
    <row r="11" spans="1:15" ht="16.5">
      <c r="A11" s="60" t="s">
        <v>73</v>
      </c>
      <c r="B11" s="61" t="s">
        <v>74</v>
      </c>
      <c r="C11" s="62" t="s">
        <v>75</v>
      </c>
      <c r="D11" s="63" t="s">
        <v>76</v>
      </c>
      <c r="E11" s="65"/>
      <c r="F11" s="66"/>
      <c r="G11" s="63" t="s">
        <v>77</v>
      </c>
      <c r="H11" s="65"/>
      <c r="I11" s="66"/>
      <c r="J11" s="63" t="s">
        <v>78</v>
      </c>
      <c r="K11" s="65"/>
      <c r="L11" s="66"/>
      <c r="M11" s="60" t="s">
        <v>79</v>
      </c>
      <c r="N11" s="63" t="s">
        <v>80</v>
      </c>
      <c r="O11" s="64"/>
    </row>
    <row r="12" spans="1:15" ht="18" thickBot="1">
      <c r="A12" s="67" t="s">
        <v>81</v>
      </c>
      <c r="B12" s="68" t="s">
        <v>81</v>
      </c>
      <c r="C12" s="67" t="s">
        <v>81</v>
      </c>
      <c r="D12" s="72" t="s">
        <v>82</v>
      </c>
      <c r="E12" s="73"/>
      <c r="F12" s="74"/>
      <c r="G12" s="72" t="s">
        <v>82</v>
      </c>
      <c r="H12" s="73"/>
      <c r="I12" s="74"/>
      <c r="J12" s="72" t="s">
        <v>82</v>
      </c>
      <c r="K12" s="73"/>
      <c r="L12" s="74"/>
      <c r="M12" s="71" t="s">
        <v>83</v>
      </c>
      <c r="N12" s="69" t="s">
        <v>79</v>
      </c>
      <c r="O12" s="70"/>
    </row>
    <row r="13" spans="1:15" ht="18" thickBot="1">
      <c r="A13" s="75"/>
      <c r="B13" s="76"/>
      <c r="C13" s="77"/>
      <c r="D13" s="78">
        <v>0.01</v>
      </c>
      <c r="E13" s="78">
        <v>0.02</v>
      </c>
      <c r="F13" s="78">
        <v>0.03</v>
      </c>
      <c r="G13" s="78">
        <v>0.04</v>
      </c>
      <c r="H13" s="106">
        <v>0.05</v>
      </c>
      <c r="I13" s="78">
        <v>0.06</v>
      </c>
      <c r="J13" s="78">
        <v>0.07</v>
      </c>
      <c r="K13" s="78">
        <v>0.08</v>
      </c>
      <c r="L13" s="78">
        <v>0.09</v>
      </c>
      <c r="M13" s="78">
        <v>0.1</v>
      </c>
      <c r="N13" s="78">
        <v>0.12</v>
      </c>
      <c r="O13" s="78">
        <v>0.15</v>
      </c>
    </row>
    <row r="14" spans="1:15" ht="13.5">
      <c r="A14" s="79">
        <f aca="true" t="shared" si="0" ref="A14:A28">C14*52</f>
        <v>5200</v>
      </c>
      <c r="B14" s="79">
        <f aca="true" t="shared" si="1" ref="B14:B28">A14/12</f>
        <v>433.3333333333333</v>
      </c>
      <c r="C14" s="79">
        <v>100</v>
      </c>
      <c r="D14" s="80">
        <f aca="true" t="shared" si="2" ref="D14:D28">C14*$D$13</f>
        <v>1</v>
      </c>
      <c r="E14" s="80">
        <f aca="true" t="shared" si="3" ref="E14:E28">C14*$E$13</f>
        <v>2</v>
      </c>
      <c r="F14" s="80">
        <f aca="true" t="shared" si="4" ref="F14:F28">C14*$F$13</f>
        <v>3</v>
      </c>
      <c r="G14" s="80">
        <f aca="true" t="shared" si="5" ref="G14:G28">C14*$G$13</f>
        <v>4</v>
      </c>
      <c r="H14" s="107">
        <f aca="true" t="shared" si="6" ref="H14:H28">C14*$H$13</f>
        <v>5</v>
      </c>
      <c r="I14" s="80">
        <f aca="true" t="shared" si="7" ref="I14:I28">C14*$I$13</f>
        <v>6</v>
      </c>
      <c r="J14" s="80">
        <f aca="true" t="shared" si="8" ref="J14:J28">C14*$J$13</f>
        <v>7.000000000000001</v>
      </c>
      <c r="K14" s="80">
        <f aca="true" t="shared" si="9" ref="K14:K28">C14*$K$13</f>
        <v>8</v>
      </c>
      <c r="L14" s="80">
        <f aca="true" t="shared" si="10" ref="L14:L28">C14*$L$13</f>
        <v>9</v>
      </c>
      <c r="M14" s="80">
        <f aca="true" t="shared" si="11" ref="M14:M28">C14*$M$13</f>
        <v>10</v>
      </c>
      <c r="N14" s="80">
        <f aca="true" t="shared" si="12" ref="N14:N28">C14*$N$13</f>
        <v>12</v>
      </c>
      <c r="O14" s="80">
        <f aca="true" t="shared" si="13" ref="O14:O28">C14*$O$13</f>
        <v>15</v>
      </c>
    </row>
    <row r="15" spans="1:15" ht="13.5">
      <c r="A15" s="79">
        <f t="shared" si="0"/>
        <v>10400</v>
      </c>
      <c r="B15" s="79">
        <f t="shared" si="1"/>
        <v>866.6666666666666</v>
      </c>
      <c r="C15" s="79">
        <v>200</v>
      </c>
      <c r="D15" s="80">
        <f t="shared" si="2"/>
        <v>2</v>
      </c>
      <c r="E15" s="80">
        <f t="shared" si="3"/>
        <v>4</v>
      </c>
      <c r="F15" s="80">
        <f t="shared" si="4"/>
        <v>6</v>
      </c>
      <c r="G15" s="80">
        <f t="shared" si="5"/>
        <v>8</v>
      </c>
      <c r="H15" s="107">
        <f t="shared" si="6"/>
        <v>10</v>
      </c>
      <c r="I15" s="80">
        <f t="shared" si="7"/>
        <v>12</v>
      </c>
      <c r="J15" s="80">
        <f t="shared" si="8"/>
        <v>14.000000000000002</v>
      </c>
      <c r="K15" s="80">
        <f t="shared" si="9"/>
        <v>16</v>
      </c>
      <c r="L15" s="80">
        <f t="shared" si="10"/>
        <v>18</v>
      </c>
      <c r="M15" s="80">
        <f t="shared" si="11"/>
        <v>20</v>
      </c>
      <c r="N15" s="80">
        <f t="shared" si="12"/>
        <v>24</v>
      </c>
      <c r="O15" s="80">
        <f t="shared" si="13"/>
        <v>30</v>
      </c>
    </row>
    <row r="16" spans="1:15" ht="13.5">
      <c r="A16" s="79">
        <f t="shared" si="0"/>
        <v>15600</v>
      </c>
      <c r="B16" s="79">
        <f t="shared" si="1"/>
        <v>1300</v>
      </c>
      <c r="C16" s="79">
        <v>300</v>
      </c>
      <c r="D16" s="80">
        <f t="shared" si="2"/>
        <v>3</v>
      </c>
      <c r="E16" s="80">
        <f t="shared" si="3"/>
        <v>6</v>
      </c>
      <c r="F16" s="80">
        <f t="shared" si="4"/>
        <v>9</v>
      </c>
      <c r="G16" s="80">
        <f t="shared" si="5"/>
        <v>12</v>
      </c>
      <c r="H16" s="107">
        <f t="shared" si="6"/>
        <v>15</v>
      </c>
      <c r="I16" s="80">
        <f t="shared" si="7"/>
        <v>18</v>
      </c>
      <c r="J16" s="80">
        <f t="shared" si="8"/>
        <v>21.000000000000004</v>
      </c>
      <c r="K16" s="80">
        <f t="shared" si="9"/>
        <v>24</v>
      </c>
      <c r="L16" s="80">
        <f t="shared" si="10"/>
        <v>27</v>
      </c>
      <c r="M16" s="80">
        <f t="shared" si="11"/>
        <v>30</v>
      </c>
      <c r="N16" s="80">
        <f t="shared" si="12"/>
        <v>36</v>
      </c>
      <c r="O16" s="80">
        <f t="shared" si="13"/>
        <v>45</v>
      </c>
    </row>
    <row r="17" spans="1:15" ht="13.5">
      <c r="A17" s="79">
        <f t="shared" si="0"/>
        <v>20800</v>
      </c>
      <c r="B17" s="79">
        <f t="shared" si="1"/>
        <v>1733.3333333333333</v>
      </c>
      <c r="C17" s="79">
        <v>400</v>
      </c>
      <c r="D17" s="80">
        <f t="shared" si="2"/>
        <v>4</v>
      </c>
      <c r="E17" s="80">
        <f t="shared" si="3"/>
        <v>8</v>
      </c>
      <c r="F17" s="80">
        <f t="shared" si="4"/>
        <v>12</v>
      </c>
      <c r="G17" s="80">
        <f t="shared" si="5"/>
        <v>16</v>
      </c>
      <c r="H17" s="107">
        <f t="shared" si="6"/>
        <v>20</v>
      </c>
      <c r="I17" s="80">
        <f t="shared" si="7"/>
        <v>24</v>
      </c>
      <c r="J17" s="80">
        <f t="shared" si="8"/>
        <v>28.000000000000004</v>
      </c>
      <c r="K17" s="80">
        <f t="shared" si="9"/>
        <v>32</v>
      </c>
      <c r="L17" s="80">
        <f t="shared" si="10"/>
        <v>36</v>
      </c>
      <c r="M17" s="80">
        <f t="shared" si="11"/>
        <v>40</v>
      </c>
      <c r="N17" s="80">
        <f t="shared" si="12"/>
        <v>48</v>
      </c>
      <c r="O17" s="80">
        <f t="shared" si="13"/>
        <v>60</v>
      </c>
    </row>
    <row r="18" spans="1:15" ht="12.75" customHeight="1">
      <c r="A18" s="79">
        <f t="shared" si="0"/>
        <v>26000</v>
      </c>
      <c r="B18" s="79">
        <f t="shared" si="1"/>
        <v>2166.6666666666665</v>
      </c>
      <c r="C18" s="79">
        <v>500</v>
      </c>
      <c r="D18" s="80">
        <f t="shared" si="2"/>
        <v>5</v>
      </c>
      <c r="E18" s="80">
        <f t="shared" si="3"/>
        <v>10</v>
      </c>
      <c r="F18" s="80">
        <f t="shared" si="4"/>
        <v>15</v>
      </c>
      <c r="G18" s="80">
        <f t="shared" si="5"/>
        <v>20</v>
      </c>
      <c r="H18" s="107">
        <f t="shared" si="6"/>
        <v>25</v>
      </c>
      <c r="I18" s="80">
        <f t="shared" si="7"/>
        <v>30</v>
      </c>
      <c r="J18" s="80">
        <f t="shared" si="8"/>
        <v>35</v>
      </c>
      <c r="K18" s="80">
        <f t="shared" si="9"/>
        <v>40</v>
      </c>
      <c r="L18" s="80">
        <f t="shared" si="10"/>
        <v>45</v>
      </c>
      <c r="M18" s="80">
        <f t="shared" si="11"/>
        <v>50</v>
      </c>
      <c r="N18" s="80">
        <f t="shared" si="12"/>
        <v>60</v>
      </c>
      <c r="O18" s="80">
        <f t="shared" si="13"/>
        <v>75</v>
      </c>
    </row>
    <row r="19" spans="1:15" ht="18" customHeight="1">
      <c r="A19" s="104">
        <f t="shared" si="0"/>
        <v>31200</v>
      </c>
      <c r="B19" s="104">
        <f t="shared" si="1"/>
        <v>2600</v>
      </c>
      <c r="C19" s="104">
        <v>600</v>
      </c>
      <c r="D19" s="111">
        <f t="shared" si="2"/>
        <v>6</v>
      </c>
      <c r="E19" s="111">
        <f t="shared" si="3"/>
        <v>12</v>
      </c>
      <c r="F19" s="111">
        <f t="shared" si="4"/>
        <v>18</v>
      </c>
      <c r="G19" s="105">
        <f t="shared" si="5"/>
        <v>24</v>
      </c>
      <c r="H19" s="105">
        <f t="shared" si="6"/>
        <v>30</v>
      </c>
      <c r="I19" s="101">
        <f t="shared" si="7"/>
        <v>36</v>
      </c>
      <c r="J19" s="112">
        <f t="shared" si="8"/>
        <v>42.00000000000001</v>
      </c>
      <c r="K19" s="112">
        <f t="shared" si="9"/>
        <v>48</v>
      </c>
      <c r="L19" s="112">
        <f t="shared" si="10"/>
        <v>54</v>
      </c>
      <c r="M19" s="112">
        <f t="shared" si="11"/>
        <v>60</v>
      </c>
      <c r="N19" s="112">
        <f t="shared" si="12"/>
        <v>72</v>
      </c>
      <c r="O19" s="112">
        <f t="shared" si="13"/>
        <v>90</v>
      </c>
    </row>
    <row r="20" spans="1:15" ht="13.5">
      <c r="A20" s="79">
        <f t="shared" si="0"/>
        <v>36400</v>
      </c>
      <c r="B20" s="79">
        <f t="shared" si="1"/>
        <v>3033.3333333333335</v>
      </c>
      <c r="C20" s="79">
        <v>700</v>
      </c>
      <c r="D20" s="80">
        <f t="shared" si="2"/>
        <v>7</v>
      </c>
      <c r="E20" s="80">
        <f t="shared" si="3"/>
        <v>14</v>
      </c>
      <c r="F20" s="80">
        <f t="shared" si="4"/>
        <v>21</v>
      </c>
      <c r="G20" s="80">
        <f t="shared" si="5"/>
        <v>28</v>
      </c>
      <c r="H20" s="80">
        <f t="shared" si="6"/>
        <v>35</v>
      </c>
      <c r="I20" s="80">
        <f t="shared" si="7"/>
        <v>42</v>
      </c>
      <c r="J20" s="80">
        <f t="shared" si="8"/>
        <v>49.00000000000001</v>
      </c>
      <c r="K20" s="80">
        <f t="shared" si="9"/>
        <v>56</v>
      </c>
      <c r="L20" s="80">
        <f t="shared" si="10"/>
        <v>63</v>
      </c>
      <c r="M20" s="80">
        <f t="shared" si="11"/>
        <v>70</v>
      </c>
      <c r="N20" s="80">
        <f t="shared" si="12"/>
        <v>84</v>
      </c>
      <c r="O20" s="80">
        <f t="shared" si="13"/>
        <v>105</v>
      </c>
    </row>
    <row r="21" spans="1:15" ht="13.5">
      <c r="A21" s="79">
        <f t="shared" si="0"/>
        <v>41600</v>
      </c>
      <c r="B21" s="79">
        <f t="shared" si="1"/>
        <v>3466.6666666666665</v>
      </c>
      <c r="C21" s="79">
        <v>800</v>
      </c>
      <c r="D21" s="80">
        <f t="shared" si="2"/>
        <v>8</v>
      </c>
      <c r="E21" s="80">
        <f t="shared" si="3"/>
        <v>16</v>
      </c>
      <c r="F21" s="80">
        <f t="shared" si="4"/>
        <v>24</v>
      </c>
      <c r="G21" s="80">
        <f t="shared" si="5"/>
        <v>32</v>
      </c>
      <c r="H21" s="80">
        <f t="shared" si="6"/>
        <v>40</v>
      </c>
      <c r="I21" s="80">
        <f t="shared" si="7"/>
        <v>48</v>
      </c>
      <c r="J21" s="80">
        <f t="shared" si="8"/>
        <v>56.00000000000001</v>
      </c>
      <c r="K21" s="80">
        <f t="shared" si="9"/>
        <v>64</v>
      </c>
      <c r="L21" s="80">
        <f t="shared" si="10"/>
        <v>72</v>
      </c>
      <c r="M21" s="80">
        <f t="shared" si="11"/>
        <v>80</v>
      </c>
      <c r="N21" s="80">
        <f t="shared" si="12"/>
        <v>96</v>
      </c>
      <c r="O21" s="80">
        <f t="shared" si="13"/>
        <v>120</v>
      </c>
    </row>
    <row r="22" spans="1:15" ht="13.5">
      <c r="A22" s="79">
        <f t="shared" si="0"/>
        <v>46800</v>
      </c>
      <c r="B22" s="79">
        <f t="shared" si="1"/>
        <v>3900</v>
      </c>
      <c r="C22" s="79">
        <v>900</v>
      </c>
      <c r="D22" s="80">
        <f t="shared" si="2"/>
        <v>9</v>
      </c>
      <c r="E22" s="80">
        <f t="shared" si="3"/>
        <v>18</v>
      </c>
      <c r="F22" s="80">
        <f t="shared" si="4"/>
        <v>27</v>
      </c>
      <c r="G22" s="80">
        <f t="shared" si="5"/>
        <v>36</v>
      </c>
      <c r="H22" s="80">
        <f t="shared" si="6"/>
        <v>45</v>
      </c>
      <c r="I22" s="80">
        <f t="shared" si="7"/>
        <v>54</v>
      </c>
      <c r="J22" s="80">
        <f t="shared" si="8"/>
        <v>63.00000000000001</v>
      </c>
      <c r="K22" s="80">
        <f t="shared" si="9"/>
        <v>72</v>
      </c>
      <c r="L22" s="80">
        <f t="shared" si="10"/>
        <v>81</v>
      </c>
      <c r="M22" s="80">
        <f t="shared" si="11"/>
        <v>90</v>
      </c>
      <c r="N22" s="80">
        <f t="shared" si="12"/>
        <v>108</v>
      </c>
      <c r="O22" s="80">
        <f t="shared" si="13"/>
        <v>135</v>
      </c>
    </row>
    <row r="23" spans="1:15" ht="13.5">
      <c r="A23" s="79">
        <f t="shared" si="0"/>
        <v>52000</v>
      </c>
      <c r="B23" s="79">
        <f t="shared" si="1"/>
        <v>4333.333333333333</v>
      </c>
      <c r="C23" s="79">
        <v>1000</v>
      </c>
      <c r="D23" s="80">
        <f t="shared" si="2"/>
        <v>10</v>
      </c>
      <c r="E23" s="80">
        <f t="shared" si="3"/>
        <v>20</v>
      </c>
      <c r="F23" s="80">
        <f t="shared" si="4"/>
        <v>30</v>
      </c>
      <c r="G23" s="80">
        <f t="shared" si="5"/>
        <v>40</v>
      </c>
      <c r="H23" s="80">
        <f t="shared" si="6"/>
        <v>50</v>
      </c>
      <c r="I23" s="80">
        <f t="shared" si="7"/>
        <v>60</v>
      </c>
      <c r="J23" s="80">
        <f t="shared" si="8"/>
        <v>70</v>
      </c>
      <c r="K23" s="80">
        <f t="shared" si="9"/>
        <v>80</v>
      </c>
      <c r="L23" s="80">
        <f t="shared" si="10"/>
        <v>90</v>
      </c>
      <c r="M23" s="80">
        <f t="shared" si="11"/>
        <v>100</v>
      </c>
      <c r="N23" s="80">
        <f t="shared" si="12"/>
        <v>120</v>
      </c>
      <c r="O23" s="80">
        <f t="shared" si="13"/>
        <v>150</v>
      </c>
    </row>
    <row r="24" spans="1:15" ht="13.5">
      <c r="A24" s="79">
        <f t="shared" si="0"/>
        <v>57200</v>
      </c>
      <c r="B24" s="79">
        <f t="shared" si="1"/>
        <v>4766.666666666667</v>
      </c>
      <c r="C24" s="79">
        <v>1100</v>
      </c>
      <c r="D24" s="80">
        <f t="shared" si="2"/>
        <v>11</v>
      </c>
      <c r="E24" s="80">
        <f t="shared" si="3"/>
        <v>22</v>
      </c>
      <c r="F24" s="80">
        <f t="shared" si="4"/>
        <v>33</v>
      </c>
      <c r="G24" s="80">
        <f t="shared" si="5"/>
        <v>44</v>
      </c>
      <c r="H24" s="80">
        <f t="shared" si="6"/>
        <v>55</v>
      </c>
      <c r="I24" s="80">
        <f t="shared" si="7"/>
        <v>66</v>
      </c>
      <c r="J24" s="80">
        <f t="shared" si="8"/>
        <v>77.00000000000001</v>
      </c>
      <c r="K24" s="80">
        <f t="shared" si="9"/>
        <v>88</v>
      </c>
      <c r="L24" s="80">
        <f t="shared" si="10"/>
        <v>99</v>
      </c>
      <c r="M24" s="80">
        <f t="shared" si="11"/>
        <v>110</v>
      </c>
      <c r="N24" s="80">
        <f t="shared" si="12"/>
        <v>132</v>
      </c>
      <c r="O24" s="80">
        <f t="shared" si="13"/>
        <v>165</v>
      </c>
    </row>
    <row r="25" spans="1:15" ht="13.5">
      <c r="A25" s="79">
        <f t="shared" si="0"/>
        <v>62400</v>
      </c>
      <c r="B25" s="79">
        <f t="shared" si="1"/>
        <v>5200</v>
      </c>
      <c r="C25" s="79">
        <v>1200</v>
      </c>
      <c r="D25" s="80">
        <f t="shared" si="2"/>
        <v>12</v>
      </c>
      <c r="E25" s="80">
        <f t="shared" si="3"/>
        <v>24</v>
      </c>
      <c r="F25" s="80">
        <f t="shared" si="4"/>
        <v>36</v>
      </c>
      <c r="G25" s="80">
        <f t="shared" si="5"/>
        <v>48</v>
      </c>
      <c r="H25" s="80">
        <f t="shared" si="6"/>
        <v>60</v>
      </c>
      <c r="I25" s="80">
        <f t="shared" si="7"/>
        <v>72</v>
      </c>
      <c r="J25" s="80">
        <f t="shared" si="8"/>
        <v>84.00000000000001</v>
      </c>
      <c r="K25" s="101">
        <f t="shared" si="9"/>
        <v>96</v>
      </c>
      <c r="L25" s="80">
        <f t="shared" si="10"/>
        <v>108</v>
      </c>
      <c r="M25" s="80">
        <f t="shared" si="11"/>
        <v>120</v>
      </c>
      <c r="N25" s="80">
        <f t="shared" si="12"/>
        <v>144</v>
      </c>
      <c r="O25" s="80">
        <f t="shared" si="13"/>
        <v>180</v>
      </c>
    </row>
    <row r="26" spans="1:15" ht="13.5">
      <c r="A26" s="79">
        <f t="shared" si="0"/>
        <v>78000</v>
      </c>
      <c r="B26" s="79">
        <f t="shared" si="1"/>
        <v>6500</v>
      </c>
      <c r="C26" s="79">
        <v>1500</v>
      </c>
      <c r="D26" s="80">
        <f t="shared" si="2"/>
        <v>15</v>
      </c>
      <c r="E26" s="80">
        <f t="shared" si="3"/>
        <v>30</v>
      </c>
      <c r="F26" s="80">
        <f t="shared" si="4"/>
        <v>45</v>
      </c>
      <c r="G26" s="80">
        <f t="shared" si="5"/>
        <v>60</v>
      </c>
      <c r="H26" s="80">
        <f t="shared" si="6"/>
        <v>75</v>
      </c>
      <c r="I26" s="80">
        <f t="shared" si="7"/>
        <v>90</v>
      </c>
      <c r="J26" s="80">
        <f t="shared" si="8"/>
        <v>105.00000000000001</v>
      </c>
      <c r="K26" s="80">
        <f t="shared" si="9"/>
        <v>120</v>
      </c>
      <c r="L26" s="80">
        <f t="shared" si="10"/>
        <v>135</v>
      </c>
      <c r="M26" s="80">
        <f t="shared" si="11"/>
        <v>150</v>
      </c>
      <c r="N26" s="80">
        <f t="shared" si="12"/>
        <v>180</v>
      </c>
      <c r="O26" s="80">
        <f t="shared" si="13"/>
        <v>225</v>
      </c>
    </row>
    <row r="27" spans="1:15" ht="13.5">
      <c r="A27" s="79">
        <f t="shared" si="0"/>
        <v>104000</v>
      </c>
      <c r="B27" s="79">
        <f t="shared" si="1"/>
        <v>8666.666666666666</v>
      </c>
      <c r="C27" s="79">
        <v>2000</v>
      </c>
      <c r="D27" s="80">
        <f t="shared" si="2"/>
        <v>20</v>
      </c>
      <c r="E27" s="80">
        <f t="shared" si="3"/>
        <v>40</v>
      </c>
      <c r="F27" s="80">
        <f t="shared" si="4"/>
        <v>60</v>
      </c>
      <c r="G27" s="80">
        <f t="shared" si="5"/>
        <v>80</v>
      </c>
      <c r="H27" s="80">
        <f t="shared" si="6"/>
        <v>100</v>
      </c>
      <c r="I27" s="80">
        <f t="shared" si="7"/>
        <v>120</v>
      </c>
      <c r="J27" s="80">
        <f t="shared" si="8"/>
        <v>140</v>
      </c>
      <c r="K27" s="80">
        <f t="shared" si="9"/>
        <v>160</v>
      </c>
      <c r="L27" s="80">
        <f t="shared" si="10"/>
        <v>180</v>
      </c>
      <c r="M27" s="80">
        <f t="shared" si="11"/>
        <v>200</v>
      </c>
      <c r="N27" s="80">
        <f t="shared" si="12"/>
        <v>240</v>
      </c>
      <c r="O27" s="80">
        <f t="shared" si="13"/>
        <v>300</v>
      </c>
    </row>
    <row r="28" spans="1:15" ht="13.5">
      <c r="A28" s="79">
        <f t="shared" si="0"/>
        <v>130000</v>
      </c>
      <c r="B28" s="79">
        <f t="shared" si="1"/>
        <v>10833.333333333334</v>
      </c>
      <c r="C28" s="79">
        <v>2500</v>
      </c>
      <c r="D28" s="80">
        <f t="shared" si="2"/>
        <v>25</v>
      </c>
      <c r="E28" s="80">
        <f t="shared" si="3"/>
        <v>50</v>
      </c>
      <c r="F28" s="80">
        <f t="shared" si="4"/>
        <v>75</v>
      </c>
      <c r="G28" s="80">
        <f t="shared" si="5"/>
        <v>100</v>
      </c>
      <c r="H28" s="80">
        <f t="shared" si="6"/>
        <v>125</v>
      </c>
      <c r="I28" s="80">
        <f t="shared" si="7"/>
        <v>150</v>
      </c>
      <c r="J28" s="80">
        <f t="shared" si="8"/>
        <v>175.00000000000003</v>
      </c>
      <c r="K28" s="80">
        <f t="shared" si="9"/>
        <v>200</v>
      </c>
      <c r="L28" s="80">
        <f t="shared" si="10"/>
        <v>225</v>
      </c>
      <c r="M28" s="80">
        <f t="shared" si="11"/>
        <v>250</v>
      </c>
      <c r="N28" s="80">
        <f t="shared" si="12"/>
        <v>300</v>
      </c>
      <c r="O28" s="80">
        <f t="shared" si="13"/>
        <v>375</v>
      </c>
    </row>
    <row r="29" spans="3:15" ht="13.5">
      <c r="C29"/>
      <c r="D29"/>
      <c r="E29"/>
      <c r="F29"/>
      <c r="G29"/>
      <c r="H29"/>
      <c r="I29"/>
      <c r="J29"/>
      <c r="K29"/>
      <c r="L29"/>
      <c r="M29"/>
      <c r="N29"/>
      <c r="O29"/>
    </row>
    <row r="30" spans="3:15" ht="13.5">
      <c r="C30"/>
      <c r="D30"/>
      <c r="E30"/>
      <c r="F30"/>
      <c r="G30"/>
      <c r="H30"/>
      <c r="I30"/>
      <c r="J30"/>
      <c r="K30"/>
      <c r="L30"/>
      <c r="M30"/>
      <c r="N30"/>
      <c r="O30"/>
    </row>
    <row r="31" spans="3:15" ht="13.5">
      <c r="C31"/>
      <c r="D31"/>
      <c r="E31"/>
      <c r="F31"/>
      <c r="G31"/>
      <c r="H31"/>
      <c r="I31"/>
      <c r="J31"/>
      <c r="K31"/>
      <c r="L31"/>
      <c r="M31"/>
      <c r="N31"/>
      <c r="O31"/>
    </row>
    <row r="32" spans="3:15" ht="13.5">
      <c r="C32"/>
      <c r="D32"/>
      <c r="E32"/>
      <c r="F32"/>
      <c r="G32"/>
      <c r="H32"/>
      <c r="I32"/>
      <c r="J32"/>
      <c r="K32"/>
      <c r="L32"/>
      <c r="M32"/>
      <c r="N32"/>
      <c r="O32"/>
    </row>
    <row r="33" spans="3:15" ht="13.5">
      <c r="C33"/>
      <c r="D33"/>
      <c r="E33"/>
      <c r="F33"/>
      <c r="G33"/>
      <c r="H33"/>
      <c r="I33"/>
      <c r="J33"/>
      <c r="K33"/>
      <c r="L33"/>
      <c r="M33"/>
      <c r="N33"/>
      <c r="O33"/>
    </row>
    <row r="34" spans="3:15" ht="13.5">
      <c r="C34"/>
      <c r="D34"/>
      <c r="E34"/>
      <c r="F34"/>
      <c r="G34"/>
      <c r="H34"/>
      <c r="I34"/>
      <c r="J34"/>
      <c r="K34"/>
      <c r="L34"/>
      <c r="M34"/>
      <c r="N34"/>
      <c r="O34"/>
    </row>
    <row r="35" spans="3:15" ht="13.5">
      <c r="C35"/>
      <c r="D35"/>
      <c r="E35"/>
      <c r="F35"/>
      <c r="G35"/>
      <c r="H35"/>
      <c r="I35"/>
      <c r="J35"/>
      <c r="K35"/>
      <c r="L35"/>
      <c r="M35"/>
      <c r="N35"/>
      <c r="O35"/>
    </row>
    <row r="36" spans="3:15" ht="13.5">
      <c r="C36"/>
      <c r="D36"/>
      <c r="E36"/>
      <c r="F36"/>
      <c r="G36"/>
      <c r="H36"/>
      <c r="I36"/>
      <c r="J36"/>
      <c r="K36"/>
      <c r="L36"/>
      <c r="M36"/>
      <c r="N36"/>
      <c r="O36"/>
    </row>
  </sheetData>
  <sheetProtection/>
  <printOptions/>
  <pageMargins left="0.53" right="0.56" top="0.78" bottom="0.51" header="0.5" footer="0.5"/>
  <pageSetup orientation="portrait"/>
  <headerFooter alignWithMargins="0">
    <oddHeader>&amp;C&amp;12Grow One Step with Faith</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U111"/>
  <sheetViews>
    <sheetView tabSelected="1" zoomScalePageLayoutView="0" workbookViewId="0" topLeftCell="A1">
      <pane xSplit="3" ySplit="3" topLeftCell="AZ4" activePane="bottomRight" state="frozen"/>
      <selection pane="topLeft" activeCell="A1" sqref="A1"/>
      <selection pane="topRight" activeCell="D1" sqref="D1"/>
      <selection pane="bottomLeft" activeCell="A4" sqref="A4"/>
      <selection pane="bottomRight" activeCell="C12" sqref="C12"/>
    </sheetView>
  </sheetViews>
  <sheetFormatPr defaultColWidth="8.75390625" defaultRowHeight="12.75"/>
  <cols>
    <col min="1" max="1" width="9.25390625" style="31" customWidth="1"/>
    <col min="2" max="2" width="12.75390625" style="21" customWidth="1"/>
    <col min="3" max="3" width="17.625" style="21" customWidth="1"/>
    <col min="4" max="7" width="10.75390625" style="21" customWidth="1"/>
    <col min="8" max="8" width="11.625" style="22" customWidth="1"/>
    <col min="9" max="10" width="10.75390625" style="21" customWidth="1"/>
    <col min="11" max="12" width="10.75390625" style="22" customWidth="1"/>
    <col min="13" max="18" width="10.75390625" style="21" customWidth="1"/>
    <col min="19" max="19" width="10.75390625" style="54" customWidth="1"/>
    <col min="20" max="29" width="10.75390625" style="21" customWidth="1"/>
    <col min="30" max="30" width="10.75390625" style="54" customWidth="1"/>
    <col min="31" max="34" width="10.75390625" style="21" customWidth="1"/>
    <col min="35" max="35" width="10.75390625" style="22" customWidth="1"/>
    <col min="36" max="39" width="10.75390625" style="21" customWidth="1"/>
    <col min="40" max="40" width="10.75390625" style="54" customWidth="1"/>
    <col min="41" max="45" width="10.75390625" style="21" customWidth="1"/>
    <col min="46" max="46" width="10.75390625" style="54" customWidth="1"/>
    <col min="47" max="50" width="10.75390625" style="21" customWidth="1"/>
    <col min="51" max="51" width="10.75390625" style="54" customWidth="1"/>
    <col min="52" max="55" width="10.75390625" style="21" customWidth="1"/>
    <col min="56" max="56" width="10.75390625" style="54" customWidth="1"/>
    <col min="57" max="61" width="10.75390625" style="21" customWidth="1"/>
    <col min="62" max="62" width="10.75390625" style="54" customWidth="1"/>
    <col min="63" max="66" width="10.75390625" style="21" customWidth="1"/>
    <col min="67" max="67" width="10.75390625" style="22" customWidth="1"/>
    <col min="68" max="69" width="16.75390625" style="25" customWidth="1"/>
    <col min="70" max="70" width="14.25390625" style="23" customWidth="1"/>
    <col min="71" max="71" width="19.125" style="21" customWidth="1"/>
    <col min="72" max="72" width="10.75390625" style="21" customWidth="1"/>
    <col min="73" max="73" width="17.625" style="21" customWidth="1"/>
    <col min="74" max="16384" width="8.75390625" style="21" customWidth="1"/>
  </cols>
  <sheetData>
    <row r="1" spans="4:65" ht="15" thickBot="1">
      <c r="D1" s="21">
        <v>1</v>
      </c>
      <c r="E1" s="21">
        <v>2</v>
      </c>
      <c r="F1" s="21">
        <v>3</v>
      </c>
      <c r="G1" s="21">
        <v>4</v>
      </c>
      <c r="I1" s="21">
        <v>6</v>
      </c>
      <c r="J1" s="21">
        <v>7</v>
      </c>
      <c r="K1" s="22">
        <v>8</v>
      </c>
      <c r="L1" s="22">
        <v>9</v>
      </c>
      <c r="M1" s="166"/>
      <c r="N1" s="21">
        <v>10</v>
      </c>
      <c r="O1" s="166">
        <v>11</v>
      </c>
      <c r="P1" s="21">
        <v>12</v>
      </c>
      <c r="Q1" s="166">
        <v>13</v>
      </c>
      <c r="R1" s="166"/>
      <c r="S1" s="259"/>
      <c r="T1" s="166">
        <v>14</v>
      </c>
      <c r="U1" s="166">
        <v>16</v>
      </c>
      <c r="V1" s="21">
        <v>17</v>
      </c>
      <c r="W1" s="166">
        <v>18</v>
      </c>
      <c r="X1" s="155"/>
      <c r="Y1" s="21">
        <v>19</v>
      </c>
      <c r="Z1" s="155">
        <v>19</v>
      </c>
      <c r="AA1" s="21">
        <v>20</v>
      </c>
      <c r="AB1" s="21">
        <v>21</v>
      </c>
      <c r="AC1" s="21">
        <v>23</v>
      </c>
      <c r="AD1" s="259"/>
      <c r="AE1" s="21">
        <v>24</v>
      </c>
      <c r="AF1" s="21">
        <v>25</v>
      </c>
      <c r="AG1" s="21">
        <v>26</v>
      </c>
      <c r="AH1" s="21">
        <v>27</v>
      </c>
      <c r="AJ1" s="21">
        <v>27</v>
      </c>
      <c r="AK1" s="21">
        <v>28</v>
      </c>
      <c r="AL1" s="21">
        <v>29</v>
      </c>
      <c r="AM1" s="21">
        <v>30</v>
      </c>
      <c r="AO1" s="21">
        <v>32</v>
      </c>
      <c r="AP1" s="21">
        <v>33</v>
      </c>
      <c r="AQ1" s="21" t="s">
        <v>126</v>
      </c>
      <c r="AR1" s="21">
        <v>35</v>
      </c>
      <c r="AS1" s="21">
        <v>36</v>
      </c>
      <c r="AT1" s="259"/>
      <c r="AU1" s="21">
        <v>37</v>
      </c>
      <c r="AV1" s="21">
        <v>38</v>
      </c>
      <c r="AW1" s="21">
        <v>39</v>
      </c>
      <c r="AX1" s="21">
        <v>40</v>
      </c>
      <c r="AZ1" s="21">
        <v>41</v>
      </c>
      <c r="BA1" s="21">
        <v>42</v>
      </c>
      <c r="BB1" s="21">
        <v>43</v>
      </c>
      <c r="BC1" s="166">
        <v>44</v>
      </c>
      <c r="BE1" s="21">
        <v>45</v>
      </c>
      <c r="BF1" s="21">
        <v>46</v>
      </c>
      <c r="BG1" s="21">
        <v>47</v>
      </c>
      <c r="BH1" s="21">
        <v>48</v>
      </c>
      <c r="BI1" s="21">
        <v>49</v>
      </c>
      <c r="BK1" s="21">
        <v>50</v>
      </c>
      <c r="BL1" s="21">
        <v>51</v>
      </c>
      <c r="BM1" s="21">
        <v>52</v>
      </c>
    </row>
    <row r="2" spans="1:73" s="14" customFormat="1" ht="15" thickBot="1">
      <c r="A2" s="147"/>
      <c r="B2" s="10"/>
      <c r="C2" s="10"/>
      <c r="D2" s="10" t="s">
        <v>84</v>
      </c>
      <c r="E2" s="10" t="s">
        <v>84</v>
      </c>
      <c r="F2" s="10" t="s">
        <v>84</v>
      </c>
      <c r="G2" s="10" t="s">
        <v>84</v>
      </c>
      <c r="H2" s="11" t="s">
        <v>2</v>
      </c>
      <c r="I2" s="10" t="s">
        <v>84</v>
      </c>
      <c r="J2" s="10" t="s">
        <v>84</v>
      </c>
      <c r="K2" s="10" t="s">
        <v>84</v>
      </c>
      <c r="L2" s="10" t="s">
        <v>84</v>
      </c>
      <c r="M2" s="11" t="s">
        <v>4</v>
      </c>
      <c r="N2" s="10" t="s">
        <v>84</v>
      </c>
      <c r="O2" s="10" t="s">
        <v>84</v>
      </c>
      <c r="P2" s="10" t="s">
        <v>84</v>
      </c>
      <c r="Q2" s="10" t="s">
        <v>84</v>
      </c>
      <c r="R2" s="10" t="s">
        <v>84</v>
      </c>
      <c r="S2" s="11" t="s">
        <v>5</v>
      </c>
      <c r="T2" s="37" t="s">
        <v>84</v>
      </c>
      <c r="U2" s="37" t="s">
        <v>84</v>
      </c>
      <c r="V2" s="10" t="s">
        <v>84</v>
      </c>
      <c r="W2" s="10" t="s">
        <v>84</v>
      </c>
      <c r="X2" s="39" t="s">
        <v>6</v>
      </c>
      <c r="Y2" s="10" t="s">
        <v>84</v>
      </c>
      <c r="Z2" s="148" t="s">
        <v>84</v>
      </c>
      <c r="AA2" s="10" t="s">
        <v>84</v>
      </c>
      <c r="AB2" s="10" t="s">
        <v>84</v>
      </c>
      <c r="AC2" s="10" t="s">
        <v>84</v>
      </c>
      <c r="AD2" s="11" t="s">
        <v>7</v>
      </c>
      <c r="AE2" s="10" t="s">
        <v>84</v>
      </c>
      <c r="AF2" s="10" t="s">
        <v>84</v>
      </c>
      <c r="AG2" s="10" t="s">
        <v>84</v>
      </c>
      <c r="AH2" s="10" t="s">
        <v>84</v>
      </c>
      <c r="AI2" s="11" t="s">
        <v>8</v>
      </c>
      <c r="AJ2" s="10" t="s">
        <v>84</v>
      </c>
      <c r="AK2" s="10" t="s">
        <v>84</v>
      </c>
      <c r="AL2" s="10" t="s">
        <v>84</v>
      </c>
      <c r="AM2" s="10" t="s">
        <v>84</v>
      </c>
      <c r="AN2" s="11" t="s">
        <v>9</v>
      </c>
      <c r="AO2" s="10" t="s">
        <v>84</v>
      </c>
      <c r="AP2" s="10" t="s">
        <v>84</v>
      </c>
      <c r="AQ2" s="10" t="s">
        <v>84</v>
      </c>
      <c r="AR2" s="10" t="s">
        <v>84</v>
      </c>
      <c r="AS2" s="10" t="s">
        <v>84</v>
      </c>
      <c r="AT2" s="11" t="s">
        <v>85</v>
      </c>
      <c r="AU2" s="10" t="s">
        <v>84</v>
      </c>
      <c r="AV2" s="10" t="s">
        <v>84</v>
      </c>
      <c r="AW2" s="10" t="s">
        <v>84</v>
      </c>
      <c r="AX2" s="10" t="s">
        <v>84</v>
      </c>
      <c r="AY2" s="11" t="s">
        <v>86</v>
      </c>
      <c r="AZ2" s="10" t="s">
        <v>84</v>
      </c>
      <c r="BA2" s="10" t="s">
        <v>84</v>
      </c>
      <c r="BB2" s="10" t="s">
        <v>84</v>
      </c>
      <c r="BC2" s="10" t="s">
        <v>87</v>
      </c>
      <c r="BD2" s="11" t="s">
        <v>87</v>
      </c>
      <c r="BE2" s="10" t="s">
        <v>84</v>
      </c>
      <c r="BF2" s="10" t="s">
        <v>84</v>
      </c>
      <c r="BG2" s="10" t="s">
        <v>84</v>
      </c>
      <c r="BH2" s="10" t="s">
        <v>84</v>
      </c>
      <c r="BI2" s="10" t="s">
        <v>84</v>
      </c>
      <c r="BJ2" s="11" t="s">
        <v>88</v>
      </c>
      <c r="BK2" s="10" t="s">
        <v>84</v>
      </c>
      <c r="BL2" s="10" t="s">
        <v>84</v>
      </c>
      <c r="BM2" s="10" t="s">
        <v>84</v>
      </c>
      <c r="BN2" s="10" t="s">
        <v>84</v>
      </c>
      <c r="BO2" s="12" t="s">
        <v>14</v>
      </c>
      <c r="BP2" s="149" t="s">
        <v>89</v>
      </c>
      <c r="BQ2" s="149" t="s">
        <v>90</v>
      </c>
      <c r="BR2" s="38" t="s">
        <v>91</v>
      </c>
      <c r="BS2" s="150"/>
      <c r="BT2" s="10"/>
      <c r="BU2" s="10"/>
    </row>
    <row r="3" spans="1:73" ht="15" thickBot="1">
      <c r="A3" s="183" t="s">
        <v>92</v>
      </c>
      <c r="B3" s="182" t="s">
        <v>93</v>
      </c>
      <c r="C3" s="181" t="s">
        <v>94</v>
      </c>
      <c r="D3" s="17">
        <v>42373</v>
      </c>
      <c r="E3" s="17">
        <f>D3+7</f>
        <v>42380</v>
      </c>
      <c r="F3" s="17">
        <f>E3+7</f>
        <v>42387</v>
      </c>
      <c r="G3" s="17">
        <f>F3+7</f>
        <v>42394</v>
      </c>
      <c r="H3" s="18" t="s">
        <v>95</v>
      </c>
      <c r="I3" s="17">
        <f>G3+7</f>
        <v>42401</v>
      </c>
      <c r="J3" s="17">
        <f>I3+7</f>
        <v>42408</v>
      </c>
      <c r="K3" s="17">
        <f>J3+7</f>
        <v>42415</v>
      </c>
      <c r="L3" s="17">
        <f>K3+7</f>
        <v>42422</v>
      </c>
      <c r="M3" s="18" t="s">
        <v>95</v>
      </c>
      <c r="N3" s="17">
        <v>42429</v>
      </c>
      <c r="O3" s="17">
        <f>N3+7</f>
        <v>42436</v>
      </c>
      <c r="P3" s="17">
        <f>O3+7</f>
        <v>42443</v>
      </c>
      <c r="Q3" s="17">
        <f>P3+7</f>
        <v>42450</v>
      </c>
      <c r="R3" s="17">
        <f>Q3+7</f>
        <v>42457</v>
      </c>
      <c r="S3" s="18" t="s">
        <v>95</v>
      </c>
      <c r="T3" s="17">
        <f>R3+7</f>
        <v>42464</v>
      </c>
      <c r="U3" s="17">
        <f>T3+7</f>
        <v>42471</v>
      </c>
      <c r="V3" s="17">
        <f>U3+7</f>
        <v>42478</v>
      </c>
      <c r="W3" s="17">
        <f>V3+7</f>
        <v>42485</v>
      </c>
      <c r="X3" s="18" t="s">
        <v>95</v>
      </c>
      <c r="Y3" s="17">
        <f>W3+7</f>
        <v>42492</v>
      </c>
      <c r="Z3" s="17">
        <f>Y3+7</f>
        <v>42499</v>
      </c>
      <c r="AA3" s="17">
        <f>Z3+7</f>
        <v>42506</v>
      </c>
      <c r="AB3" s="17">
        <f>AA3+7</f>
        <v>42513</v>
      </c>
      <c r="AC3" s="17">
        <f>AB3+7</f>
        <v>42520</v>
      </c>
      <c r="AD3" s="18" t="s">
        <v>95</v>
      </c>
      <c r="AE3" s="17">
        <f>AC3+7</f>
        <v>42527</v>
      </c>
      <c r="AF3" s="17">
        <f>AE3+7</f>
        <v>42534</v>
      </c>
      <c r="AG3" s="17">
        <f>AF3+7</f>
        <v>42541</v>
      </c>
      <c r="AH3" s="17">
        <f>AG3+7</f>
        <v>42548</v>
      </c>
      <c r="AI3" s="18" t="s">
        <v>95</v>
      </c>
      <c r="AJ3" s="17">
        <f>AH3+7</f>
        <v>42555</v>
      </c>
      <c r="AK3" s="17">
        <f>AJ3+7</f>
        <v>42562</v>
      </c>
      <c r="AL3" s="17">
        <f>AK3+7</f>
        <v>42569</v>
      </c>
      <c r="AM3" s="17">
        <f>AL3+7</f>
        <v>42576</v>
      </c>
      <c r="AN3" s="18" t="s">
        <v>95</v>
      </c>
      <c r="AO3" s="17">
        <f>AM3+7</f>
        <v>42583</v>
      </c>
      <c r="AP3" s="17">
        <f>AO3+7</f>
        <v>42590</v>
      </c>
      <c r="AQ3" s="17">
        <f>AP3+7</f>
        <v>42597</v>
      </c>
      <c r="AR3" s="17">
        <f>AQ3+7</f>
        <v>42604</v>
      </c>
      <c r="AS3" s="17">
        <f>AR3+7</f>
        <v>42611</v>
      </c>
      <c r="AT3" s="18" t="s">
        <v>95</v>
      </c>
      <c r="AU3" s="17">
        <f>AS3+7</f>
        <v>42618</v>
      </c>
      <c r="AV3" s="17">
        <f>AU3+7</f>
        <v>42625</v>
      </c>
      <c r="AW3" s="17">
        <f>AV3+7</f>
        <v>42632</v>
      </c>
      <c r="AX3" s="17">
        <f>AW3+7</f>
        <v>42639</v>
      </c>
      <c r="AY3" s="18" t="s">
        <v>95</v>
      </c>
      <c r="AZ3" s="17">
        <f>AX3+7</f>
        <v>42646</v>
      </c>
      <c r="BA3" s="17">
        <f>AZ3+7</f>
        <v>42653</v>
      </c>
      <c r="BB3" s="17">
        <f>BA3+7</f>
        <v>42660</v>
      </c>
      <c r="BC3" s="17">
        <f>BB3+7</f>
        <v>42667</v>
      </c>
      <c r="BD3" s="18" t="s">
        <v>95</v>
      </c>
      <c r="BE3" s="17">
        <f>BC3+7</f>
        <v>42674</v>
      </c>
      <c r="BF3" s="17">
        <f>BE3+7</f>
        <v>42681</v>
      </c>
      <c r="BG3" s="17">
        <f>BF3+7</f>
        <v>42688</v>
      </c>
      <c r="BH3" s="17">
        <f>BG3+7</f>
        <v>42695</v>
      </c>
      <c r="BI3" s="17">
        <f>BH3+7</f>
        <v>42702</v>
      </c>
      <c r="BJ3" s="18" t="s">
        <v>95</v>
      </c>
      <c r="BK3" s="17">
        <f>BI3+7</f>
        <v>42709</v>
      </c>
      <c r="BL3" s="17">
        <f>BK3+7</f>
        <v>42716</v>
      </c>
      <c r="BM3" s="17">
        <f>BL3+7</f>
        <v>42723</v>
      </c>
      <c r="BN3" s="17">
        <f>BM3+7</f>
        <v>42730</v>
      </c>
      <c r="BO3" s="19" t="s">
        <v>95</v>
      </c>
      <c r="BP3" s="20" t="s">
        <v>3</v>
      </c>
      <c r="BQ3" s="20" t="s">
        <v>96</v>
      </c>
      <c r="BR3" s="274" t="s">
        <v>124</v>
      </c>
      <c r="BS3" s="15" t="s">
        <v>92</v>
      </c>
      <c r="BT3" s="16" t="s">
        <v>93</v>
      </c>
      <c r="BU3" s="16" t="s">
        <v>94</v>
      </c>
    </row>
    <row r="4" spans="1:73" s="166" customFormat="1" ht="13.5">
      <c r="A4" s="246">
        <v>1</v>
      </c>
      <c r="B4"/>
      <c r="C4"/>
      <c r="D4" s="143"/>
      <c r="E4" s="143"/>
      <c r="F4" s="143"/>
      <c r="G4" s="143"/>
      <c r="H4" s="249"/>
      <c r="I4" s="143"/>
      <c r="J4" s="143"/>
      <c r="K4" s="143"/>
      <c r="L4" s="143"/>
      <c r="M4" s="244"/>
      <c r="N4" s="143"/>
      <c r="O4" s="143"/>
      <c r="P4" s="143"/>
      <c r="Q4" s="143"/>
      <c r="R4" s="143"/>
      <c r="S4" s="244"/>
      <c r="T4" s="143"/>
      <c r="U4" s="143"/>
      <c r="V4" s="143"/>
      <c r="W4" s="143"/>
      <c r="X4" s="244"/>
      <c r="Y4" s="143"/>
      <c r="Z4" s="143"/>
      <c r="AA4" s="143"/>
      <c r="AB4" s="143"/>
      <c r="AC4" s="143"/>
      <c r="AD4" s="244"/>
      <c r="AE4" s="245"/>
      <c r="AF4" s="143"/>
      <c r="AG4" s="143"/>
      <c r="AH4" s="143"/>
      <c r="AI4" s="242"/>
      <c r="AJ4" s="143"/>
      <c r="AK4" s="143"/>
      <c r="AL4" s="143"/>
      <c r="AM4" s="143"/>
      <c r="AN4" s="244"/>
      <c r="AO4" s="143"/>
      <c r="AP4" s="143"/>
      <c r="AQ4" s="143"/>
      <c r="AR4" s="143"/>
      <c r="AS4" s="143"/>
      <c r="AT4" s="244"/>
      <c r="AU4" s="143"/>
      <c r="AV4" s="143"/>
      <c r="AW4" s="143"/>
      <c r="AX4" s="143"/>
      <c r="AY4" s="244"/>
      <c r="AZ4" s="143"/>
      <c r="BA4" s="143"/>
      <c r="BB4" s="143"/>
      <c r="BC4" s="143"/>
      <c r="BD4" s="244"/>
      <c r="BE4" s="143"/>
      <c r="BF4" s="143"/>
      <c r="BG4" s="143"/>
      <c r="BH4" s="143"/>
      <c r="BI4" s="143"/>
      <c r="BJ4" s="244"/>
      <c r="BK4" s="143"/>
      <c r="BL4" s="143"/>
      <c r="BM4" s="245"/>
      <c r="BN4" s="245"/>
      <c r="BO4" s="242"/>
      <c r="BP4" s="143">
        <f aca="true" t="shared" si="0" ref="BP4:BP35">SUM(D4:BO4)</f>
        <v>0</v>
      </c>
      <c r="BQ4" s="143">
        <f aca="true" t="shared" si="1" ref="BQ4:BQ35">BP4-BO4-BJ4-BD4-AY4-AT4-AN4-AI4-AD4-X4-S4-M4-H4</f>
        <v>0</v>
      </c>
      <c r="BR4" s="275">
        <f aca="true" t="shared" si="2" ref="BR4:BR35">BP4/$BR$3</f>
        <v>0</v>
      </c>
      <c r="BS4" s="246">
        <f aca="true" t="shared" si="3" ref="BS4:BU6">A4</f>
        <v>1</v>
      </c>
      <c r="BT4" s="247">
        <f t="shared" si="3"/>
        <v>0</v>
      </c>
      <c r="BU4" s="247">
        <f t="shared" si="3"/>
        <v>0</v>
      </c>
    </row>
    <row r="5" spans="1:73" s="166" customFormat="1" ht="13.5">
      <c r="A5" s="246">
        <v>2</v>
      </c>
      <c r="B5"/>
      <c r="C5"/>
      <c r="D5" s="143"/>
      <c r="E5" s="143"/>
      <c r="F5" s="143"/>
      <c r="G5" s="143"/>
      <c r="H5" s="242"/>
      <c r="I5" s="143"/>
      <c r="J5" s="143"/>
      <c r="K5" s="143"/>
      <c r="L5" s="143"/>
      <c r="M5" s="244"/>
      <c r="N5" s="143"/>
      <c r="O5" s="143"/>
      <c r="P5" s="143"/>
      <c r="Q5" s="143"/>
      <c r="R5" s="143"/>
      <c r="S5" s="244"/>
      <c r="T5" s="143"/>
      <c r="U5" s="143"/>
      <c r="V5" s="143"/>
      <c r="W5" s="143"/>
      <c r="X5" s="244"/>
      <c r="Y5" s="143"/>
      <c r="Z5" s="143"/>
      <c r="AA5" s="143"/>
      <c r="AB5" s="143"/>
      <c r="AC5" s="143"/>
      <c r="AD5" s="244"/>
      <c r="AE5" s="245"/>
      <c r="AF5" s="143"/>
      <c r="AG5" s="143"/>
      <c r="AH5" s="143"/>
      <c r="AI5" s="242"/>
      <c r="AJ5" s="143"/>
      <c r="AK5" s="143"/>
      <c r="AL5" s="143"/>
      <c r="AM5" s="143"/>
      <c r="AN5" s="244"/>
      <c r="AO5" s="143"/>
      <c r="AP5" s="143"/>
      <c r="AQ5" s="143"/>
      <c r="AR5" s="143"/>
      <c r="AS5" s="143"/>
      <c r="AT5" s="244"/>
      <c r="AU5" s="143"/>
      <c r="AV5" s="143"/>
      <c r="AW5" s="143"/>
      <c r="AX5" s="143"/>
      <c r="AY5" s="244"/>
      <c r="AZ5" s="143"/>
      <c r="BA5" s="143"/>
      <c r="BB5" s="143"/>
      <c r="BC5" s="143"/>
      <c r="BD5" s="244"/>
      <c r="BE5" s="143"/>
      <c r="BF5" s="143"/>
      <c r="BG5" s="143"/>
      <c r="BH5" s="143"/>
      <c r="BI5" s="143"/>
      <c r="BJ5" s="244"/>
      <c r="BK5" s="143"/>
      <c r="BL5" s="143"/>
      <c r="BM5" s="245"/>
      <c r="BN5" s="245"/>
      <c r="BO5" s="242"/>
      <c r="BP5" s="143">
        <f t="shared" si="0"/>
        <v>0</v>
      </c>
      <c r="BQ5" s="143">
        <f t="shared" si="1"/>
        <v>0</v>
      </c>
      <c r="BR5" s="275">
        <f t="shared" si="2"/>
        <v>0</v>
      </c>
      <c r="BS5" s="246">
        <f t="shared" si="3"/>
        <v>2</v>
      </c>
      <c r="BT5" s="247">
        <f t="shared" si="3"/>
        <v>0</v>
      </c>
      <c r="BU5" s="247">
        <f t="shared" si="3"/>
        <v>0</v>
      </c>
    </row>
    <row r="6" spans="1:73" s="166" customFormat="1" ht="13.5">
      <c r="A6" s="246">
        <v>3</v>
      </c>
      <c r="B6"/>
      <c r="C6"/>
      <c r="D6" s="143"/>
      <c r="E6" s="143"/>
      <c r="F6" s="143"/>
      <c r="G6" s="143"/>
      <c r="H6" s="242"/>
      <c r="I6" s="143"/>
      <c r="J6" s="143"/>
      <c r="K6" s="243"/>
      <c r="L6" s="243"/>
      <c r="M6" s="244"/>
      <c r="N6" s="143"/>
      <c r="O6" s="143"/>
      <c r="P6" s="143"/>
      <c r="Q6" s="143"/>
      <c r="R6" s="143"/>
      <c r="S6" s="244"/>
      <c r="T6" s="143"/>
      <c r="U6" s="143"/>
      <c r="V6" s="143"/>
      <c r="W6" s="143"/>
      <c r="X6" s="244"/>
      <c r="Y6" s="143"/>
      <c r="Z6" s="143"/>
      <c r="AA6" s="143"/>
      <c r="AB6" s="245"/>
      <c r="AC6" s="143"/>
      <c r="AD6" s="244"/>
      <c r="AE6" s="143"/>
      <c r="AF6" s="143"/>
      <c r="AG6" s="143"/>
      <c r="AH6" s="143"/>
      <c r="AI6" s="242"/>
      <c r="AJ6" s="143"/>
      <c r="AK6" s="143"/>
      <c r="AL6" s="143"/>
      <c r="AM6" s="143"/>
      <c r="AN6" s="244"/>
      <c r="AO6" s="143"/>
      <c r="AP6" s="143"/>
      <c r="AQ6" s="143"/>
      <c r="AR6" s="143"/>
      <c r="AS6" s="143"/>
      <c r="AT6" s="244"/>
      <c r="AU6" s="143"/>
      <c r="AV6" s="143"/>
      <c r="AW6" s="143"/>
      <c r="AX6" s="143"/>
      <c r="AY6" s="244"/>
      <c r="AZ6" s="143"/>
      <c r="BA6" s="143"/>
      <c r="BB6" s="143"/>
      <c r="BC6" s="143"/>
      <c r="BD6" s="244"/>
      <c r="BE6" s="143"/>
      <c r="BF6" s="143"/>
      <c r="BG6" s="143"/>
      <c r="BH6" s="143"/>
      <c r="BI6" s="143"/>
      <c r="BJ6" s="244"/>
      <c r="BK6" s="143"/>
      <c r="BL6" s="143"/>
      <c r="BM6" s="143"/>
      <c r="BN6" s="143"/>
      <c r="BO6" s="242"/>
      <c r="BP6" s="143">
        <f t="shared" si="0"/>
        <v>0</v>
      </c>
      <c r="BQ6" s="143">
        <f t="shared" si="1"/>
        <v>0</v>
      </c>
      <c r="BR6" s="275">
        <f t="shared" si="2"/>
        <v>0</v>
      </c>
      <c r="BS6" s="246">
        <f t="shared" si="3"/>
        <v>3</v>
      </c>
      <c r="BT6" s="247">
        <f t="shared" si="3"/>
        <v>0</v>
      </c>
      <c r="BU6" s="247">
        <f t="shared" si="3"/>
        <v>0</v>
      </c>
    </row>
    <row r="7" spans="1:73" s="166" customFormat="1" ht="13.5">
      <c r="A7" s="246">
        <v>4</v>
      </c>
      <c r="B7"/>
      <c r="C7"/>
      <c r="D7" s="143"/>
      <c r="E7" s="143"/>
      <c r="F7" s="143"/>
      <c r="G7" s="143"/>
      <c r="H7" s="242"/>
      <c r="I7" s="143"/>
      <c r="J7" s="143"/>
      <c r="K7" s="243"/>
      <c r="L7" s="243"/>
      <c r="M7" s="244"/>
      <c r="N7" s="143"/>
      <c r="O7" s="143"/>
      <c r="P7" s="143"/>
      <c r="Q7" s="143"/>
      <c r="R7" s="143"/>
      <c r="S7" s="244"/>
      <c r="T7" s="143"/>
      <c r="U7" s="143"/>
      <c r="V7" s="143"/>
      <c r="W7" s="143"/>
      <c r="X7" s="244"/>
      <c r="Y7" s="143"/>
      <c r="Z7" s="143"/>
      <c r="AA7" s="143"/>
      <c r="AB7" s="245"/>
      <c r="AC7" s="143"/>
      <c r="AD7" s="244"/>
      <c r="AE7" s="143"/>
      <c r="AF7" s="143"/>
      <c r="AG7" s="143"/>
      <c r="AH7" s="143"/>
      <c r="AI7" s="242"/>
      <c r="AJ7" s="143"/>
      <c r="AK7" s="143"/>
      <c r="AL7" s="143"/>
      <c r="AM7" s="143"/>
      <c r="AN7" s="244"/>
      <c r="AO7" s="143"/>
      <c r="AP7" s="143"/>
      <c r="AQ7" s="143"/>
      <c r="AR7" s="143"/>
      <c r="AS7" s="143"/>
      <c r="AT7" s="244"/>
      <c r="AU7" s="143"/>
      <c r="AV7" s="143"/>
      <c r="AW7" s="143"/>
      <c r="AX7" s="143"/>
      <c r="AY7" s="244"/>
      <c r="AZ7" s="143"/>
      <c r="BA7" s="143"/>
      <c r="BB7" s="143"/>
      <c r="BC7" s="143"/>
      <c r="BD7" s="244"/>
      <c r="BE7" s="143"/>
      <c r="BF7" s="143"/>
      <c r="BG7" s="143"/>
      <c r="BH7" s="143"/>
      <c r="BI7" s="143"/>
      <c r="BJ7" s="244"/>
      <c r="BK7" s="143"/>
      <c r="BL7" s="143"/>
      <c r="BM7" s="143"/>
      <c r="BN7" s="143"/>
      <c r="BO7" s="242"/>
      <c r="BP7" s="143">
        <f t="shared" si="0"/>
        <v>0</v>
      </c>
      <c r="BQ7" s="143">
        <f t="shared" si="1"/>
        <v>0</v>
      </c>
      <c r="BR7" s="275">
        <f t="shared" si="2"/>
        <v>0</v>
      </c>
      <c r="BS7" s="246">
        <f aca="true" t="shared" si="4" ref="BS7:BS38">A7</f>
        <v>4</v>
      </c>
      <c r="BT7" s="247">
        <f aca="true" t="shared" si="5" ref="BT7:BT38">B7</f>
        <v>0</v>
      </c>
      <c r="BU7" s="247"/>
    </row>
    <row r="8" spans="1:73" s="166" customFormat="1" ht="13.5">
      <c r="A8" s="246">
        <v>5</v>
      </c>
      <c r="B8"/>
      <c r="C8"/>
      <c r="D8" s="143"/>
      <c r="E8" s="143"/>
      <c r="F8" s="143"/>
      <c r="G8" s="143"/>
      <c r="H8" s="242"/>
      <c r="I8" s="143"/>
      <c r="J8" s="143"/>
      <c r="K8" s="243"/>
      <c r="L8" s="243"/>
      <c r="M8" s="244"/>
      <c r="N8" s="143"/>
      <c r="O8" s="143"/>
      <c r="P8" s="143"/>
      <c r="Q8" s="143"/>
      <c r="R8" s="143"/>
      <c r="S8" s="244"/>
      <c r="T8" s="143"/>
      <c r="U8" s="143"/>
      <c r="V8" s="143"/>
      <c r="W8" s="143"/>
      <c r="X8" s="244"/>
      <c r="Y8" s="143"/>
      <c r="Z8" s="143"/>
      <c r="AA8" s="143"/>
      <c r="AB8" s="143"/>
      <c r="AC8" s="143"/>
      <c r="AD8" s="244"/>
      <c r="AE8" s="143"/>
      <c r="AF8" s="143"/>
      <c r="AG8" s="143"/>
      <c r="AH8" s="143"/>
      <c r="AI8" s="242"/>
      <c r="AJ8" s="143"/>
      <c r="AK8" s="143"/>
      <c r="AL8" s="143"/>
      <c r="AM8" s="143"/>
      <c r="AN8" s="244"/>
      <c r="AO8" s="143"/>
      <c r="AP8" s="143"/>
      <c r="AQ8" s="143"/>
      <c r="AR8" s="143"/>
      <c r="AS8" s="143"/>
      <c r="AT8" s="244"/>
      <c r="AU8" s="143"/>
      <c r="AV8" s="143"/>
      <c r="AW8" s="143"/>
      <c r="AX8" s="143"/>
      <c r="AY8" s="244"/>
      <c r="AZ8" s="143"/>
      <c r="BA8" s="143"/>
      <c r="BB8" s="143"/>
      <c r="BC8" s="143"/>
      <c r="BD8" s="244"/>
      <c r="BE8" s="143"/>
      <c r="BF8" s="143"/>
      <c r="BG8" s="143"/>
      <c r="BH8" s="143"/>
      <c r="BI8" s="143"/>
      <c r="BJ8" s="244"/>
      <c r="BK8" s="143"/>
      <c r="BL8" s="143"/>
      <c r="BM8" s="143"/>
      <c r="BN8" s="143"/>
      <c r="BO8" s="242"/>
      <c r="BP8" s="143">
        <f t="shared" si="0"/>
        <v>0</v>
      </c>
      <c r="BQ8" s="143">
        <f t="shared" si="1"/>
        <v>0</v>
      </c>
      <c r="BR8" s="275">
        <f t="shared" si="2"/>
        <v>0</v>
      </c>
      <c r="BS8" s="246">
        <f t="shared" si="4"/>
        <v>5</v>
      </c>
      <c r="BT8" s="247">
        <f t="shared" si="5"/>
        <v>0</v>
      </c>
      <c r="BU8" s="247"/>
    </row>
    <row r="9" spans="1:73" s="166" customFormat="1" ht="13.5">
      <c r="A9" s="246">
        <v>6</v>
      </c>
      <c r="B9"/>
      <c r="C9"/>
      <c r="D9" s="143"/>
      <c r="E9" s="143"/>
      <c r="F9" s="143"/>
      <c r="G9" s="143"/>
      <c r="H9" s="242"/>
      <c r="I9" s="143"/>
      <c r="J9" s="143"/>
      <c r="K9" s="243"/>
      <c r="L9" s="243"/>
      <c r="M9" s="244"/>
      <c r="N9" s="143"/>
      <c r="O9" s="143"/>
      <c r="P9" s="143"/>
      <c r="Q9" s="143"/>
      <c r="R9" s="143"/>
      <c r="S9" s="244"/>
      <c r="T9" s="143"/>
      <c r="U9" s="143"/>
      <c r="V9" s="143"/>
      <c r="W9" s="143"/>
      <c r="X9" s="244"/>
      <c r="Y9" s="143"/>
      <c r="Z9" s="143"/>
      <c r="AA9" s="143"/>
      <c r="AB9" s="143"/>
      <c r="AC9" s="143"/>
      <c r="AD9" s="244"/>
      <c r="AE9" s="143"/>
      <c r="AF9" s="143"/>
      <c r="AG9" s="143"/>
      <c r="AH9" s="143"/>
      <c r="AI9" s="242"/>
      <c r="AJ9" s="143"/>
      <c r="AK9" s="143"/>
      <c r="AL9" s="143"/>
      <c r="AM9" s="143"/>
      <c r="AN9" s="244"/>
      <c r="AO9" s="143"/>
      <c r="AP9" s="143"/>
      <c r="AQ9" s="143"/>
      <c r="AR9" s="143"/>
      <c r="AS9" s="143"/>
      <c r="AT9" s="244"/>
      <c r="AU9" s="143"/>
      <c r="AV9" s="143"/>
      <c r="AW9" s="143"/>
      <c r="AX9" s="143"/>
      <c r="AY9" s="244"/>
      <c r="AZ9" s="143"/>
      <c r="BA9" s="143"/>
      <c r="BB9" s="143"/>
      <c r="BC9" s="143"/>
      <c r="BD9" s="244"/>
      <c r="BE9" s="143"/>
      <c r="BF9" s="143"/>
      <c r="BG9" s="143"/>
      <c r="BH9" s="143"/>
      <c r="BI9" s="143"/>
      <c r="BJ9" s="244"/>
      <c r="BK9" s="143"/>
      <c r="BL9" s="143"/>
      <c r="BM9" s="143"/>
      <c r="BN9" s="143"/>
      <c r="BO9" s="242"/>
      <c r="BP9" s="143">
        <f t="shared" si="0"/>
        <v>0</v>
      </c>
      <c r="BQ9" s="143">
        <f t="shared" si="1"/>
        <v>0</v>
      </c>
      <c r="BR9" s="275">
        <f t="shared" si="2"/>
        <v>0</v>
      </c>
      <c r="BS9" s="246">
        <f t="shared" si="4"/>
        <v>6</v>
      </c>
      <c r="BT9" s="247">
        <f t="shared" si="5"/>
        <v>0</v>
      </c>
      <c r="BU9" s="247">
        <f aca="true" t="shared" si="6" ref="BU9:BU23">C9</f>
        <v>0</v>
      </c>
    </row>
    <row r="10" spans="1:73" s="166" customFormat="1" ht="13.5">
      <c r="A10" s="246">
        <v>7</v>
      </c>
      <c r="B10"/>
      <c r="C10"/>
      <c r="D10" s="143"/>
      <c r="E10" s="143"/>
      <c r="F10" s="143"/>
      <c r="G10" s="143"/>
      <c r="H10" s="242"/>
      <c r="I10" s="143"/>
      <c r="J10" s="143"/>
      <c r="K10" s="243"/>
      <c r="L10" s="243"/>
      <c r="M10" s="244"/>
      <c r="N10" s="143"/>
      <c r="O10" s="143"/>
      <c r="P10" s="143"/>
      <c r="Q10" s="143"/>
      <c r="R10" s="143"/>
      <c r="S10" s="244"/>
      <c r="T10" s="143"/>
      <c r="U10" s="143"/>
      <c r="V10" s="143"/>
      <c r="W10" s="143"/>
      <c r="X10" s="244"/>
      <c r="Y10" s="143"/>
      <c r="Z10" s="143"/>
      <c r="AA10" s="143"/>
      <c r="AB10" s="143"/>
      <c r="AC10" s="143"/>
      <c r="AD10" s="244"/>
      <c r="AE10" s="143"/>
      <c r="AF10" s="143"/>
      <c r="AG10" s="143"/>
      <c r="AH10" s="143"/>
      <c r="AI10" s="242"/>
      <c r="AJ10" s="143"/>
      <c r="AK10" s="143"/>
      <c r="AL10" s="143"/>
      <c r="AM10" s="143"/>
      <c r="AN10" s="244"/>
      <c r="AO10" s="143"/>
      <c r="AP10" s="143"/>
      <c r="AQ10" s="143"/>
      <c r="AR10" s="143"/>
      <c r="AS10" s="143"/>
      <c r="AT10" s="244"/>
      <c r="AU10" s="143"/>
      <c r="AV10" s="143"/>
      <c r="AW10" s="143"/>
      <c r="AX10" s="143"/>
      <c r="AY10" s="244"/>
      <c r="AZ10" s="143"/>
      <c r="BA10" s="143"/>
      <c r="BB10" s="143"/>
      <c r="BC10" s="143"/>
      <c r="BD10" s="244"/>
      <c r="BE10" s="143"/>
      <c r="BF10" s="143"/>
      <c r="BG10" s="143"/>
      <c r="BH10" s="143"/>
      <c r="BI10" s="143"/>
      <c r="BJ10" s="244"/>
      <c r="BK10" s="143"/>
      <c r="BL10" s="143"/>
      <c r="BM10" s="143"/>
      <c r="BN10" s="143"/>
      <c r="BO10" s="242"/>
      <c r="BP10" s="143">
        <f t="shared" si="0"/>
        <v>0</v>
      </c>
      <c r="BQ10" s="143">
        <f t="shared" si="1"/>
        <v>0</v>
      </c>
      <c r="BR10" s="275">
        <f t="shared" si="2"/>
        <v>0</v>
      </c>
      <c r="BS10" s="246">
        <f t="shared" si="4"/>
        <v>7</v>
      </c>
      <c r="BT10" s="247">
        <f t="shared" si="5"/>
        <v>0</v>
      </c>
      <c r="BU10" s="247">
        <f t="shared" si="6"/>
        <v>0</v>
      </c>
    </row>
    <row r="11" spans="1:73" s="166" customFormat="1" ht="13.5">
      <c r="A11" s="246">
        <v>8</v>
      </c>
      <c r="B11"/>
      <c r="C11"/>
      <c r="D11" s="143"/>
      <c r="E11" s="143"/>
      <c r="F11" s="143"/>
      <c r="G11" s="143"/>
      <c r="H11" s="242"/>
      <c r="I11" s="143"/>
      <c r="J11" s="143"/>
      <c r="K11" s="243"/>
      <c r="L11" s="243"/>
      <c r="M11" s="244"/>
      <c r="N11" s="143"/>
      <c r="O11" s="143"/>
      <c r="P11" s="143"/>
      <c r="Q11" s="143"/>
      <c r="R11" s="143"/>
      <c r="S11" s="244"/>
      <c r="T11" s="143"/>
      <c r="U11" s="143"/>
      <c r="V11" s="143"/>
      <c r="W11" s="143"/>
      <c r="X11" s="244"/>
      <c r="Y11" s="143"/>
      <c r="Z11" s="143"/>
      <c r="AA11" s="143"/>
      <c r="AB11" s="143"/>
      <c r="AC11" s="143"/>
      <c r="AD11" s="244"/>
      <c r="AE11" s="143"/>
      <c r="AF11" s="143"/>
      <c r="AG11" s="143"/>
      <c r="AH11" s="143"/>
      <c r="AI11" s="242"/>
      <c r="AJ11" s="143"/>
      <c r="AK11" s="143"/>
      <c r="AL11" s="143"/>
      <c r="AM11" s="143"/>
      <c r="AN11" s="244"/>
      <c r="AO11" s="143"/>
      <c r="AP11" s="143"/>
      <c r="AQ11" s="248"/>
      <c r="AR11" s="143"/>
      <c r="AS11" s="143"/>
      <c r="AT11" s="244"/>
      <c r="AU11" s="143"/>
      <c r="AV11" s="143"/>
      <c r="AW11" s="143"/>
      <c r="AX11" s="143"/>
      <c r="AY11" s="244"/>
      <c r="AZ11" s="143"/>
      <c r="BA11" s="143"/>
      <c r="BB11" s="143"/>
      <c r="BC11" s="143"/>
      <c r="BD11" s="244"/>
      <c r="BE11" s="143"/>
      <c r="BF11" s="143"/>
      <c r="BG11" s="143"/>
      <c r="BH11" s="143"/>
      <c r="BI11" s="143"/>
      <c r="BJ11" s="244"/>
      <c r="BK11" s="143"/>
      <c r="BL11" s="143"/>
      <c r="BM11" s="143"/>
      <c r="BN11" s="143"/>
      <c r="BO11" s="242"/>
      <c r="BP11" s="143">
        <f t="shared" si="0"/>
        <v>0</v>
      </c>
      <c r="BQ11" s="143">
        <f t="shared" si="1"/>
        <v>0</v>
      </c>
      <c r="BR11" s="275">
        <f t="shared" si="2"/>
        <v>0</v>
      </c>
      <c r="BS11" s="246">
        <f t="shared" si="4"/>
        <v>8</v>
      </c>
      <c r="BT11" s="247">
        <f t="shared" si="5"/>
        <v>0</v>
      </c>
      <c r="BU11" s="247">
        <f t="shared" si="6"/>
        <v>0</v>
      </c>
    </row>
    <row r="12" spans="1:73" s="166" customFormat="1" ht="13.5">
      <c r="A12" s="246">
        <v>9</v>
      </c>
      <c r="B12"/>
      <c r="C12"/>
      <c r="D12" s="143"/>
      <c r="E12" s="143"/>
      <c r="F12" s="143"/>
      <c r="G12" s="143"/>
      <c r="H12" s="242"/>
      <c r="I12" s="143"/>
      <c r="J12" s="143"/>
      <c r="K12" s="243"/>
      <c r="L12" s="243"/>
      <c r="M12" s="244"/>
      <c r="N12" s="143"/>
      <c r="O12" s="143"/>
      <c r="P12" s="143"/>
      <c r="Q12" s="143"/>
      <c r="R12" s="143"/>
      <c r="S12" s="244"/>
      <c r="T12" s="143"/>
      <c r="U12" s="143"/>
      <c r="V12" s="143"/>
      <c r="W12" s="143"/>
      <c r="X12" s="244"/>
      <c r="Y12" s="143"/>
      <c r="Z12" s="143"/>
      <c r="AA12" s="143"/>
      <c r="AB12" s="143"/>
      <c r="AC12" s="143"/>
      <c r="AD12" s="244"/>
      <c r="AE12" s="143"/>
      <c r="AF12" s="143"/>
      <c r="AG12" s="143"/>
      <c r="AH12" s="143"/>
      <c r="AI12" s="242"/>
      <c r="AJ12" s="143"/>
      <c r="AK12" s="143"/>
      <c r="AL12" s="143"/>
      <c r="AM12" s="143"/>
      <c r="AN12" s="244"/>
      <c r="AO12" s="143"/>
      <c r="AP12" s="143"/>
      <c r="AQ12" s="143"/>
      <c r="AR12" s="143"/>
      <c r="AS12" s="143"/>
      <c r="AT12" s="244"/>
      <c r="AU12" s="143"/>
      <c r="AV12" s="143"/>
      <c r="AW12" s="143"/>
      <c r="AX12" s="143"/>
      <c r="AY12" s="244"/>
      <c r="AZ12" s="143"/>
      <c r="BA12" s="143"/>
      <c r="BB12" s="143"/>
      <c r="BC12" s="143"/>
      <c r="BD12" s="244"/>
      <c r="BE12" s="143"/>
      <c r="BF12" s="143"/>
      <c r="BG12" s="143"/>
      <c r="BH12" s="143"/>
      <c r="BI12" s="143"/>
      <c r="BJ12" s="244"/>
      <c r="BK12" s="143"/>
      <c r="BL12" s="143"/>
      <c r="BM12" s="143"/>
      <c r="BN12" s="143"/>
      <c r="BO12" s="242"/>
      <c r="BP12" s="143">
        <f t="shared" si="0"/>
        <v>0</v>
      </c>
      <c r="BQ12" s="143">
        <f t="shared" si="1"/>
        <v>0</v>
      </c>
      <c r="BR12" s="275">
        <f t="shared" si="2"/>
        <v>0</v>
      </c>
      <c r="BS12" s="246">
        <f t="shared" si="4"/>
        <v>9</v>
      </c>
      <c r="BT12" s="247">
        <f t="shared" si="5"/>
        <v>0</v>
      </c>
      <c r="BU12" s="247">
        <f t="shared" si="6"/>
        <v>0</v>
      </c>
    </row>
    <row r="13" spans="1:73" s="166" customFormat="1" ht="13.5">
      <c r="A13" s="246">
        <v>10</v>
      </c>
      <c r="B13"/>
      <c r="C13"/>
      <c r="D13" s="143"/>
      <c r="E13" s="143"/>
      <c r="F13" s="143"/>
      <c r="G13" s="143"/>
      <c r="H13" s="242"/>
      <c r="I13" s="143"/>
      <c r="J13" s="143"/>
      <c r="K13" s="243"/>
      <c r="L13" s="243"/>
      <c r="M13" s="244"/>
      <c r="N13" s="143"/>
      <c r="O13" s="143"/>
      <c r="P13" s="143"/>
      <c r="Q13" s="143"/>
      <c r="R13" s="143"/>
      <c r="S13" s="244"/>
      <c r="T13" s="143"/>
      <c r="U13" s="143"/>
      <c r="V13" s="143"/>
      <c r="W13" s="143"/>
      <c r="X13" s="244"/>
      <c r="Y13" s="143"/>
      <c r="Z13" s="143"/>
      <c r="AA13" s="143"/>
      <c r="AB13" s="143"/>
      <c r="AC13" s="143"/>
      <c r="AD13" s="244"/>
      <c r="AE13" s="143"/>
      <c r="AF13" s="143"/>
      <c r="AG13" s="143"/>
      <c r="AH13" s="143"/>
      <c r="AI13" s="242"/>
      <c r="AJ13" s="143"/>
      <c r="AK13" s="143"/>
      <c r="AL13" s="143"/>
      <c r="AM13" s="143"/>
      <c r="AN13" s="244"/>
      <c r="AO13" s="143"/>
      <c r="AP13" s="143"/>
      <c r="AQ13" s="143"/>
      <c r="AR13" s="143"/>
      <c r="AS13" s="143"/>
      <c r="AT13" s="244"/>
      <c r="AU13" s="143"/>
      <c r="AV13" s="143"/>
      <c r="AW13" s="143"/>
      <c r="AX13" s="143"/>
      <c r="AY13" s="244"/>
      <c r="AZ13" s="143"/>
      <c r="BA13" s="143"/>
      <c r="BB13" s="143"/>
      <c r="BC13" s="143"/>
      <c r="BD13" s="244"/>
      <c r="BE13" s="143"/>
      <c r="BF13" s="143"/>
      <c r="BG13" s="143"/>
      <c r="BH13" s="143"/>
      <c r="BI13" s="143"/>
      <c r="BJ13" s="244"/>
      <c r="BK13" s="143"/>
      <c r="BL13" s="143"/>
      <c r="BM13" s="143"/>
      <c r="BN13" s="143"/>
      <c r="BO13" s="242"/>
      <c r="BP13" s="143">
        <f t="shared" si="0"/>
        <v>0</v>
      </c>
      <c r="BQ13" s="143">
        <f t="shared" si="1"/>
        <v>0</v>
      </c>
      <c r="BR13" s="275">
        <f t="shared" si="2"/>
        <v>0</v>
      </c>
      <c r="BS13" s="246">
        <f t="shared" si="4"/>
        <v>10</v>
      </c>
      <c r="BT13" s="247">
        <f t="shared" si="5"/>
        <v>0</v>
      </c>
      <c r="BU13" s="247">
        <f t="shared" si="6"/>
        <v>0</v>
      </c>
    </row>
    <row r="14" spans="1:73" s="166" customFormat="1" ht="13.5">
      <c r="A14" s="246">
        <v>11</v>
      </c>
      <c r="B14"/>
      <c r="C14"/>
      <c r="D14" s="143"/>
      <c r="E14" s="143"/>
      <c r="F14" s="143"/>
      <c r="G14" s="143"/>
      <c r="H14" s="242"/>
      <c r="I14" s="143"/>
      <c r="J14" s="143"/>
      <c r="K14" s="243"/>
      <c r="L14" s="243"/>
      <c r="M14" s="244"/>
      <c r="N14" s="143"/>
      <c r="O14" s="143"/>
      <c r="P14" s="143"/>
      <c r="Q14" s="143"/>
      <c r="R14" s="143"/>
      <c r="S14" s="244"/>
      <c r="T14" s="143"/>
      <c r="U14" s="143"/>
      <c r="V14" s="143"/>
      <c r="W14" s="143"/>
      <c r="X14" s="244"/>
      <c r="Y14" s="143"/>
      <c r="Z14" s="143"/>
      <c r="AA14" s="143"/>
      <c r="AB14" s="143"/>
      <c r="AC14" s="143"/>
      <c r="AD14" s="244"/>
      <c r="AE14" s="143"/>
      <c r="AF14" s="143"/>
      <c r="AG14" s="143"/>
      <c r="AH14" s="143"/>
      <c r="AI14" s="242"/>
      <c r="AJ14" s="143"/>
      <c r="AK14" s="143"/>
      <c r="AL14" s="143"/>
      <c r="AM14" s="143"/>
      <c r="AN14" s="244"/>
      <c r="AO14" s="143"/>
      <c r="AP14" s="143"/>
      <c r="AQ14" s="143"/>
      <c r="AR14" s="143"/>
      <c r="AS14" s="143"/>
      <c r="AT14" s="244"/>
      <c r="AU14" s="143"/>
      <c r="AV14" s="143"/>
      <c r="AW14" s="143"/>
      <c r="AX14" s="143"/>
      <c r="AY14" s="244"/>
      <c r="AZ14" s="143"/>
      <c r="BA14" s="143"/>
      <c r="BB14" s="143"/>
      <c r="BC14" s="143"/>
      <c r="BD14" s="244"/>
      <c r="BE14" s="143"/>
      <c r="BF14" s="143"/>
      <c r="BG14" s="143"/>
      <c r="BH14" s="143"/>
      <c r="BI14" s="143"/>
      <c r="BJ14" s="244"/>
      <c r="BK14" s="143"/>
      <c r="BL14" s="143"/>
      <c r="BM14" s="143"/>
      <c r="BN14" s="143"/>
      <c r="BO14" s="242"/>
      <c r="BP14" s="143">
        <f t="shared" si="0"/>
        <v>0</v>
      </c>
      <c r="BQ14" s="143">
        <f t="shared" si="1"/>
        <v>0</v>
      </c>
      <c r="BR14" s="275">
        <f t="shared" si="2"/>
        <v>0</v>
      </c>
      <c r="BS14" s="246">
        <f t="shared" si="4"/>
        <v>11</v>
      </c>
      <c r="BT14" s="247">
        <f t="shared" si="5"/>
        <v>0</v>
      </c>
      <c r="BU14" s="247">
        <f t="shared" si="6"/>
        <v>0</v>
      </c>
    </row>
    <row r="15" spans="1:73" s="166" customFormat="1" ht="13.5">
      <c r="A15" s="246">
        <v>12</v>
      </c>
      <c r="B15"/>
      <c r="C15"/>
      <c r="D15" s="143"/>
      <c r="E15" s="143"/>
      <c r="F15" s="143"/>
      <c r="G15" s="143"/>
      <c r="H15" s="242"/>
      <c r="I15" s="143"/>
      <c r="J15" s="143"/>
      <c r="K15" s="243"/>
      <c r="L15" s="243"/>
      <c r="M15" s="244"/>
      <c r="N15" s="143"/>
      <c r="O15" s="143"/>
      <c r="P15" s="143"/>
      <c r="Q15" s="143"/>
      <c r="R15" s="143"/>
      <c r="S15" s="244"/>
      <c r="T15" s="143"/>
      <c r="U15" s="143"/>
      <c r="V15" s="143"/>
      <c r="W15" s="143"/>
      <c r="X15" s="244"/>
      <c r="Y15" s="143"/>
      <c r="Z15" s="143"/>
      <c r="AA15" s="143"/>
      <c r="AB15" s="143"/>
      <c r="AC15" s="143"/>
      <c r="AD15" s="244"/>
      <c r="AE15" s="143"/>
      <c r="AF15" s="143"/>
      <c r="AG15" s="143"/>
      <c r="AH15" s="143"/>
      <c r="AI15" s="242"/>
      <c r="AJ15" s="143"/>
      <c r="AK15" s="143"/>
      <c r="AL15" s="143"/>
      <c r="AM15" s="143"/>
      <c r="AN15" s="244"/>
      <c r="AO15" s="143"/>
      <c r="AP15" s="143"/>
      <c r="AQ15" s="143"/>
      <c r="AR15" s="143"/>
      <c r="AS15" s="143"/>
      <c r="AT15" s="244"/>
      <c r="AU15" s="143"/>
      <c r="AV15" s="143"/>
      <c r="AW15" s="143"/>
      <c r="AX15" s="143"/>
      <c r="AY15" s="244"/>
      <c r="AZ15" s="143"/>
      <c r="BA15" s="143"/>
      <c r="BB15" s="143"/>
      <c r="BC15" s="143"/>
      <c r="BD15" s="244"/>
      <c r="BE15" s="143"/>
      <c r="BF15" s="143"/>
      <c r="BG15" s="143"/>
      <c r="BH15" s="143"/>
      <c r="BI15" s="143"/>
      <c r="BJ15" s="244"/>
      <c r="BK15" s="143"/>
      <c r="BL15" s="143"/>
      <c r="BM15" s="143"/>
      <c r="BN15" s="143"/>
      <c r="BO15" s="242"/>
      <c r="BP15" s="143">
        <f t="shared" si="0"/>
        <v>0</v>
      </c>
      <c r="BQ15" s="143">
        <f t="shared" si="1"/>
        <v>0</v>
      </c>
      <c r="BR15" s="275">
        <f t="shared" si="2"/>
        <v>0</v>
      </c>
      <c r="BS15" s="246">
        <f t="shared" si="4"/>
        <v>12</v>
      </c>
      <c r="BT15" s="247">
        <f t="shared" si="5"/>
        <v>0</v>
      </c>
      <c r="BU15" s="247">
        <f t="shared" si="6"/>
        <v>0</v>
      </c>
    </row>
    <row r="16" spans="1:73" s="166" customFormat="1" ht="13.5">
      <c r="A16" s="246">
        <v>13</v>
      </c>
      <c r="B16"/>
      <c r="C16"/>
      <c r="D16" s="143"/>
      <c r="E16" s="143"/>
      <c r="F16" s="143"/>
      <c r="G16" s="143"/>
      <c r="H16" s="242"/>
      <c r="I16" s="143"/>
      <c r="J16" s="143"/>
      <c r="K16" s="243"/>
      <c r="L16" s="243"/>
      <c r="M16" s="244"/>
      <c r="N16" s="143"/>
      <c r="O16" s="143"/>
      <c r="P16" s="143"/>
      <c r="Q16" s="143"/>
      <c r="R16" s="143"/>
      <c r="S16" s="244"/>
      <c r="T16" s="143"/>
      <c r="U16" s="143"/>
      <c r="V16" s="143"/>
      <c r="W16" s="143"/>
      <c r="X16" s="244"/>
      <c r="Y16" s="143"/>
      <c r="Z16" s="143"/>
      <c r="AA16" s="143"/>
      <c r="AB16" s="143"/>
      <c r="AC16" s="143"/>
      <c r="AD16" s="244"/>
      <c r="AE16" s="143"/>
      <c r="AF16" s="143"/>
      <c r="AG16" s="143"/>
      <c r="AH16" s="143"/>
      <c r="AI16" s="242"/>
      <c r="AJ16" s="143"/>
      <c r="AK16" s="143"/>
      <c r="AL16" s="143"/>
      <c r="AM16" s="178"/>
      <c r="AN16" s="259"/>
      <c r="AO16" s="143"/>
      <c r="AP16" s="143"/>
      <c r="AQ16" s="143"/>
      <c r="AR16" s="143"/>
      <c r="AS16" s="143"/>
      <c r="AT16" s="244"/>
      <c r="AU16" s="143"/>
      <c r="AV16" s="143"/>
      <c r="AW16" s="143"/>
      <c r="AX16" s="143"/>
      <c r="AY16" s="244"/>
      <c r="AZ16" s="143"/>
      <c r="BA16" s="143"/>
      <c r="BB16" s="143"/>
      <c r="BC16" s="143"/>
      <c r="BD16" s="244"/>
      <c r="BE16" s="143"/>
      <c r="BF16" s="143"/>
      <c r="BG16" s="143"/>
      <c r="BH16" s="143"/>
      <c r="BI16" s="143"/>
      <c r="BJ16" s="244"/>
      <c r="BK16" s="143"/>
      <c r="BL16" s="143"/>
      <c r="BM16" s="143"/>
      <c r="BN16" s="143"/>
      <c r="BO16" s="242"/>
      <c r="BP16" s="143">
        <f t="shared" si="0"/>
        <v>0</v>
      </c>
      <c r="BQ16" s="143">
        <f t="shared" si="1"/>
        <v>0</v>
      </c>
      <c r="BR16" s="275">
        <f t="shared" si="2"/>
        <v>0</v>
      </c>
      <c r="BS16" s="246">
        <f t="shared" si="4"/>
        <v>13</v>
      </c>
      <c r="BT16" s="247">
        <f t="shared" si="5"/>
        <v>0</v>
      </c>
      <c r="BU16" s="247">
        <f t="shared" si="6"/>
        <v>0</v>
      </c>
    </row>
    <row r="17" spans="1:73" s="166" customFormat="1" ht="13.5">
      <c r="A17" s="246">
        <v>14</v>
      </c>
      <c r="B17"/>
      <c r="C17"/>
      <c r="D17" s="143"/>
      <c r="E17" s="143"/>
      <c r="F17" s="143"/>
      <c r="G17" s="143"/>
      <c r="H17" s="242"/>
      <c r="I17" s="143"/>
      <c r="J17" s="143"/>
      <c r="K17" s="243"/>
      <c r="L17" s="243"/>
      <c r="M17" s="244"/>
      <c r="N17" s="143"/>
      <c r="O17" s="143"/>
      <c r="P17" s="143"/>
      <c r="Q17" s="143"/>
      <c r="R17" s="143"/>
      <c r="S17" s="244"/>
      <c r="T17" s="143"/>
      <c r="U17" s="143"/>
      <c r="V17" s="143"/>
      <c r="W17" s="143"/>
      <c r="X17" s="244"/>
      <c r="Y17" s="143"/>
      <c r="Z17" s="143"/>
      <c r="AA17" s="143"/>
      <c r="AB17" s="143"/>
      <c r="AC17" s="143"/>
      <c r="AD17" s="244"/>
      <c r="AE17" s="143"/>
      <c r="AF17" s="143"/>
      <c r="AG17" s="143"/>
      <c r="AH17" s="143"/>
      <c r="AI17" s="242"/>
      <c r="AJ17" s="143"/>
      <c r="AK17" s="143"/>
      <c r="AL17" s="143"/>
      <c r="AM17" s="143"/>
      <c r="AN17" s="244"/>
      <c r="AO17" s="143"/>
      <c r="AP17" s="143"/>
      <c r="AQ17" s="143"/>
      <c r="AR17" s="143"/>
      <c r="AS17" s="143"/>
      <c r="AT17" s="244"/>
      <c r="AU17" s="143"/>
      <c r="AV17" s="143"/>
      <c r="AW17" s="143"/>
      <c r="AX17" s="143"/>
      <c r="AY17" s="244"/>
      <c r="AZ17" s="143"/>
      <c r="BA17" s="143"/>
      <c r="BB17" s="143"/>
      <c r="BC17" s="143"/>
      <c r="BD17" s="244"/>
      <c r="BE17" s="143"/>
      <c r="BF17" s="143"/>
      <c r="BG17" s="143"/>
      <c r="BH17" s="143"/>
      <c r="BI17" s="143"/>
      <c r="BJ17" s="244"/>
      <c r="BK17" s="143"/>
      <c r="BL17" s="143"/>
      <c r="BM17" s="143"/>
      <c r="BN17" s="143"/>
      <c r="BO17" s="242"/>
      <c r="BP17" s="143">
        <f t="shared" si="0"/>
        <v>0</v>
      </c>
      <c r="BQ17" s="143">
        <f t="shared" si="1"/>
        <v>0</v>
      </c>
      <c r="BR17" s="275">
        <f t="shared" si="2"/>
        <v>0</v>
      </c>
      <c r="BS17" s="246">
        <f t="shared" si="4"/>
        <v>14</v>
      </c>
      <c r="BT17" s="247">
        <f t="shared" si="5"/>
        <v>0</v>
      </c>
      <c r="BU17" s="247">
        <f t="shared" si="6"/>
        <v>0</v>
      </c>
    </row>
    <row r="18" spans="1:73" s="166" customFormat="1" ht="13.5">
      <c r="A18" s="246">
        <v>15</v>
      </c>
      <c r="B18"/>
      <c r="C18"/>
      <c r="D18" s="143"/>
      <c r="E18" s="143"/>
      <c r="F18" s="143"/>
      <c r="G18" s="143"/>
      <c r="H18" s="244"/>
      <c r="I18" s="143"/>
      <c r="J18" s="143"/>
      <c r="K18" s="143"/>
      <c r="L18" s="143"/>
      <c r="M18" s="244"/>
      <c r="N18" s="143"/>
      <c r="O18" s="143"/>
      <c r="P18" s="143"/>
      <c r="Q18" s="143"/>
      <c r="R18" s="143"/>
      <c r="S18" s="244"/>
      <c r="T18" s="143"/>
      <c r="U18" s="143"/>
      <c r="V18" s="143"/>
      <c r="W18" s="143"/>
      <c r="X18" s="244"/>
      <c r="Y18" s="143"/>
      <c r="Z18" s="143"/>
      <c r="AA18" s="143"/>
      <c r="AB18" s="143"/>
      <c r="AC18" s="143"/>
      <c r="AD18" s="244"/>
      <c r="AE18" s="143"/>
      <c r="AF18" s="143"/>
      <c r="AG18" s="143"/>
      <c r="AH18" s="143"/>
      <c r="AI18" s="244"/>
      <c r="AJ18" s="143"/>
      <c r="AK18" s="143"/>
      <c r="AL18" s="143"/>
      <c r="AM18" s="143"/>
      <c r="AN18" s="244"/>
      <c r="AO18" s="143"/>
      <c r="AP18" s="143"/>
      <c r="AQ18" s="143"/>
      <c r="AR18" s="143"/>
      <c r="AS18" s="143"/>
      <c r="AT18" s="244"/>
      <c r="AU18" s="143"/>
      <c r="AV18" s="143"/>
      <c r="AW18" s="143"/>
      <c r="AX18" s="143"/>
      <c r="AY18" s="244"/>
      <c r="AZ18" s="143"/>
      <c r="BA18" s="143"/>
      <c r="BB18" s="143"/>
      <c r="BC18" s="143"/>
      <c r="BD18" s="244"/>
      <c r="BE18" s="143"/>
      <c r="BF18" s="143"/>
      <c r="BG18" s="143"/>
      <c r="BH18" s="143"/>
      <c r="BI18" s="143"/>
      <c r="BJ18" s="244"/>
      <c r="BK18" s="143"/>
      <c r="BL18" s="143"/>
      <c r="BM18" s="143"/>
      <c r="BN18" s="143"/>
      <c r="BO18" s="242"/>
      <c r="BP18" s="143">
        <f t="shared" si="0"/>
        <v>0</v>
      </c>
      <c r="BQ18" s="143">
        <f t="shared" si="1"/>
        <v>0</v>
      </c>
      <c r="BR18" s="275">
        <f t="shared" si="2"/>
        <v>0</v>
      </c>
      <c r="BS18" s="246">
        <f t="shared" si="4"/>
        <v>15</v>
      </c>
      <c r="BT18" s="247">
        <f t="shared" si="5"/>
        <v>0</v>
      </c>
      <c r="BU18" s="247">
        <f t="shared" si="6"/>
        <v>0</v>
      </c>
    </row>
    <row r="19" spans="1:73" s="166" customFormat="1" ht="13.5">
      <c r="A19" s="246">
        <v>16</v>
      </c>
      <c r="B19"/>
      <c r="C19"/>
      <c r="D19" s="143"/>
      <c r="E19" s="143"/>
      <c r="F19" s="143"/>
      <c r="G19" s="143"/>
      <c r="H19" s="242"/>
      <c r="I19" s="143"/>
      <c r="J19" s="143"/>
      <c r="K19" s="243"/>
      <c r="L19" s="243"/>
      <c r="M19" s="244"/>
      <c r="N19" s="143"/>
      <c r="O19" s="143"/>
      <c r="P19" s="143"/>
      <c r="Q19" s="143"/>
      <c r="R19" s="143"/>
      <c r="S19" s="244"/>
      <c r="T19" s="143"/>
      <c r="U19" s="143"/>
      <c r="V19" s="143"/>
      <c r="W19" s="143"/>
      <c r="X19" s="244"/>
      <c r="Y19" s="143"/>
      <c r="Z19" s="143"/>
      <c r="AA19" s="143"/>
      <c r="AB19" s="143"/>
      <c r="AC19" s="143"/>
      <c r="AD19" s="244"/>
      <c r="AE19" s="143"/>
      <c r="AF19" s="143"/>
      <c r="AG19" s="143"/>
      <c r="AH19" s="143"/>
      <c r="AI19" s="242"/>
      <c r="AJ19" s="143"/>
      <c r="AK19" s="143"/>
      <c r="AL19" s="143"/>
      <c r="AM19" s="143"/>
      <c r="AN19" s="244"/>
      <c r="AO19" s="143"/>
      <c r="AP19" s="143"/>
      <c r="AQ19" s="143"/>
      <c r="AR19" s="143"/>
      <c r="AS19" s="143"/>
      <c r="AT19" s="244"/>
      <c r="AU19" s="143"/>
      <c r="AV19" s="143"/>
      <c r="AW19" s="143"/>
      <c r="AX19" s="143"/>
      <c r="AY19" s="244"/>
      <c r="AZ19" s="143"/>
      <c r="BA19" s="143"/>
      <c r="BB19" s="143"/>
      <c r="BC19" s="143"/>
      <c r="BD19" s="244"/>
      <c r="BE19" s="143"/>
      <c r="BF19" s="143"/>
      <c r="BG19" s="143"/>
      <c r="BH19" s="143"/>
      <c r="BI19" s="143"/>
      <c r="BJ19" s="244"/>
      <c r="BK19" s="143"/>
      <c r="BL19" s="143"/>
      <c r="BM19" s="143"/>
      <c r="BN19" s="143"/>
      <c r="BO19" s="242"/>
      <c r="BP19" s="143">
        <f t="shared" si="0"/>
        <v>0</v>
      </c>
      <c r="BQ19" s="143">
        <f t="shared" si="1"/>
        <v>0</v>
      </c>
      <c r="BR19" s="275">
        <f t="shared" si="2"/>
        <v>0</v>
      </c>
      <c r="BS19" s="246">
        <f t="shared" si="4"/>
        <v>16</v>
      </c>
      <c r="BT19" s="247">
        <f t="shared" si="5"/>
        <v>0</v>
      </c>
      <c r="BU19" s="247">
        <f t="shared" si="6"/>
        <v>0</v>
      </c>
    </row>
    <row r="20" spans="1:73" s="166" customFormat="1" ht="13.5">
      <c r="A20" s="246">
        <v>17</v>
      </c>
      <c r="B20"/>
      <c r="C20"/>
      <c r="D20" s="143"/>
      <c r="E20" s="143"/>
      <c r="F20" s="143"/>
      <c r="G20" s="143"/>
      <c r="H20" s="242"/>
      <c r="I20" s="143"/>
      <c r="J20" s="143"/>
      <c r="K20" s="243"/>
      <c r="L20" s="243"/>
      <c r="M20" s="244"/>
      <c r="N20" s="143"/>
      <c r="O20" s="143"/>
      <c r="P20" s="143"/>
      <c r="Q20" s="143"/>
      <c r="R20" s="143"/>
      <c r="S20" s="244"/>
      <c r="T20" s="143"/>
      <c r="U20" s="143"/>
      <c r="V20" s="143"/>
      <c r="W20" s="143"/>
      <c r="X20" s="244"/>
      <c r="Y20" s="143"/>
      <c r="Z20" s="143"/>
      <c r="AA20" s="143"/>
      <c r="AB20" s="143"/>
      <c r="AC20" s="143"/>
      <c r="AD20" s="244"/>
      <c r="AE20" s="143"/>
      <c r="AF20" s="143"/>
      <c r="AG20" s="143"/>
      <c r="AH20" s="143"/>
      <c r="AI20" s="242"/>
      <c r="AJ20" s="143"/>
      <c r="AK20" s="143"/>
      <c r="AL20" s="143"/>
      <c r="AM20" s="143"/>
      <c r="AN20" s="244"/>
      <c r="AO20" s="143"/>
      <c r="AP20" s="143"/>
      <c r="AQ20" s="143"/>
      <c r="AR20" s="143"/>
      <c r="AS20" s="143"/>
      <c r="AT20" s="244"/>
      <c r="AU20" s="143"/>
      <c r="AV20" s="143"/>
      <c r="AW20" s="143"/>
      <c r="AX20" s="143"/>
      <c r="AY20" s="244"/>
      <c r="AZ20" s="143"/>
      <c r="BA20" s="143"/>
      <c r="BB20" s="143"/>
      <c r="BC20" s="143"/>
      <c r="BD20" s="244"/>
      <c r="BE20" s="143"/>
      <c r="BF20" s="143"/>
      <c r="BG20" s="143"/>
      <c r="BH20" s="143"/>
      <c r="BI20" s="143"/>
      <c r="BJ20" s="244"/>
      <c r="BK20" s="143"/>
      <c r="BL20" s="143"/>
      <c r="BM20" s="143"/>
      <c r="BN20" s="143"/>
      <c r="BO20" s="242"/>
      <c r="BP20" s="143">
        <f t="shared" si="0"/>
        <v>0</v>
      </c>
      <c r="BQ20" s="143">
        <f t="shared" si="1"/>
        <v>0</v>
      </c>
      <c r="BR20" s="275">
        <f t="shared" si="2"/>
        <v>0</v>
      </c>
      <c r="BS20" s="246">
        <f t="shared" si="4"/>
        <v>17</v>
      </c>
      <c r="BT20" s="247">
        <f t="shared" si="5"/>
        <v>0</v>
      </c>
      <c r="BU20" s="247">
        <f t="shared" si="6"/>
        <v>0</v>
      </c>
    </row>
    <row r="21" spans="1:73" s="166" customFormat="1" ht="13.5">
      <c r="A21" s="246">
        <v>18</v>
      </c>
      <c r="B21"/>
      <c r="C21"/>
      <c r="D21" s="143"/>
      <c r="E21" s="143"/>
      <c r="F21" s="143"/>
      <c r="G21" s="143"/>
      <c r="H21" s="242"/>
      <c r="I21" s="143"/>
      <c r="J21" s="143"/>
      <c r="K21" s="243"/>
      <c r="L21" s="243"/>
      <c r="M21" s="244"/>
      <c r="N21" s="143"/>
      <c r="O21" s="143"/>
      <c r="P21" s="143"/>
      <c r="Q21" s="143"/>
      <c r="R21" s="143"/>
      <c r="S21" s="244"/>
      <c r="T21" s="143"/>
      <c r="U21" s="143"/>
      <c r="V21" s="143"/>
      <c r="W21" s="143"/>
      <c r="X21" s="244"/>
      <c r="Y21" s="143"/>
      <c r="Z21" s="143"/>
      <c r="AA21" s="143"/>
      <c r="AB21" s="143"/>
      <c r="AC21" s="143"/>
      <c r="AD21" s="244"/>
      <c r="AE21" s="143"/>
      <c r="AF21" s="143"/>
      <c r="AG21" s="143"/>
      <c r="AH21" s="143"/>
      <c r="AI21" s="242"/>
      <c r="AJ21" s="143"/>
      <c r="AK21" s="143"/>
      <c r="AL21" s="143"/>
      <c r="AM21" s="143"/>
      <c r="AN21" s="244"/>
      <c r="AO21" s="143"/>
      <c r="AP21" s="143"/>
      <c r="AQ21" s="143"/>
      <c r="AR21" s="143"/>
      <c r="AS21" s="143"/>
      <c r="AT21" s="244"/>
      <c r="AU21" s="143"/>
      <c r="AV21" s="143"/>
      <c r="AW21" s="143"/>
      <c r="AX21" s="143"/>
      <c r="AY21" s="244"/>
      <c r="AZ21" s="143"/>
      <c r="BA21" s="143"/>
      <c r="BB21" s="143"/>
      <c r="BC21" s="143"/>
      <c r="BD21" s="244"/>
      <c r="BE21" s="143"/>
      <c r="BF21" s="143"/>
      <c r="BG21" s="143"/>
      <c r="BH21" s="143"/>
      <c r="BI21" s="143"/>
      <c r="BJ21" s="244"/>
      <c r="BK21" s="143"/>
      <c r="BL21" s="143"/>
      <c r="BM21" s="143"/>
      <c r="BN21" s="143"/>
      <c r="BO21" s="242"/>
      <c r="BP21" s="143">
        <f t="shared" si="0"/>
        <v>0</v>
      </c>
      <c r="BQ21" s="143">
        <f t="shared" si="1"/>
        <v>0</v>
      </c>
      <c r="BR21" s="275">
        <f t="shared" si="2"/>
        <v>0</v>
      </c>
      <c r="BS21" s="246">
        <f t="shared" si="4"/>
        <v>18</v>
      </c>
      <c r="BT21" s="247">
        <f t="shared" si="5"/>
        <v>0</v>
      </c>
      <c r="BU21" s="247">
        <f t="shared" si="6"/>
        <v>0</v>
      </c>
    </row>
    <row r="22" spans="1:73" s="166" customFormat="1" ht="13.5">
      <c r="A22" s="246">
        <v>19</v>
      </c>
      <c r="B22"/>
      <c r="C22"/>
      <c r="D22" s="143"/>
      <c r="E22" s="143"/>
      <c r="F22" s="143"/>
      <c r="G22" s="143"/>
      <c r="H22" s="242"/>
      <c r="I22" s="143"/>
      <c r="J22" s="143"/>
      <c r="K22" s="243"/>
      <c r="L22" s="243"/>
      <c r="M22" s="244"/>
      <c r="N22" s="143"/>
      <c r="O22" s="143"/>
      <c r="P22" s="143"/>
      <c r="Q22" s="143"/>
      <c r="R22" s="143"/>
      <c r="S22" s="244"/>
      <c r="T22" s="143"/>
      <c r="U22" s="143"/>
      <c r="V22" s="143"/>
      <c r="W22" s="143"/>
      <c r="X22" s="244"/>
      <c r="Y22" s="143"/>
      <c r="Z22" s="143"/>
      <c r="AA22" s="143"/>
      <c r="AB22" s="143"/>
      <c r="AC22" s="143"/>
      <c r="AD22" s="244"/>
      <c r="AE22" s="143"/>
      <c r="AF22" s="143"/>
      <c r="AG22" s="143"/>
      <c r="AH22" s="143"/>
      <c r="AI22" s="242"/>
      <c r="AJ22" s="143"/>
      <c r="AK22" s="143"/>
      <c r="AL22" s="143"/>
      <c r="AM22" s="143"/>
      <c r="AN22" s="244"/>
      <c r="AO22" s="143"/>
      <c r="AP22" s="143"/>
      <c r="AQ22" s="143"/>
      <c r="AR22" s="143"/>
      <c r="AS22" s="143"/>
      <c r="AT22" s="244"/>
      <c r="AU22" s="143"/>
      <c r="AV22" s="143"/>
      <c r="AW22" s="143"/>
      <c r="AX22" s="143"/>
      <c r="AY22" s="244"/>
      <c r="AZ22" s="143"/>
      <c r="BA22" s="143"/>
      <c r="BB22" s="143"/>
      <c r="BC22" s="143"/>
      <c r="BD22" s="244"/>
      <c r="BE22" s="143"/>
      <c r="BF22" s="143"/>
      <c r="BG22" s="143"/>
      <c r="BH22" s="143"/>
      <c r="BI22" s="143"/>
      <c r="BJ22" s="244"/>
      <c r="BK22" s="143"/>
      <c r="BL22" s="143"/>
      <c r="BM22" s="143"/>
      <c r="BN22" s="143"/>
      <c r="BO22" s="242"/>
      <c r="BP22" s="143">
        <f t="shared" si="0"/>
        <v>0</v>
      </c>
      <c r="BQ22" s="143">
        <f t="shared" si="1"/>
        <v>0</v>
      </c>
      <c r="BR22" s="275">
        <f t="shared" si="2"/>
        <v>0</v>
      </c>
      <c r="BS22" s="246">
        <f t="shared" si="4"/>
        <v>19</v>
      </c>
      <c r="BT22" s="247">
        <f t="shared" si="5"/>
        <v>0</v>
      </c>
      <c r="BU22" s="247">
        <f t="shared" si="6"/>
        <v>0</v>
      </c>
    </row>
    <row r="23" spans="1:73" s="166" customFormat="1" ht="13.5">
      <c r="A23" s="246">
        <v>20</v>
      </c>
      <c r="B23"/>
      <c r="C23"/>
      <c r="D23" s="143"/>
      <c r="E23" s="143"/>
      <c r="F23" s="143"/>
      <c r="G23" s="143"/>
      <c r="H23" s="242"/>
      <c r="I23" s="143"/>
      <c r="J23" s="143"/>
      <c r="K23" s="243"/>
      <c r="L23" s="243"/>
      <c r="M23" s="244"/>
      <c r="N23" s="143"/>
      <c r="O23" s="143"/>
      <c r="P23" s="143"/>
      <c r="Q23" s="143"/>
      <c r="R23" s="143"/>
      <c r="S23" s="244"/>
      <c r="T23" s="143"/>
      <c r="U23" s="143"/>
      <c r="V23" s="143"/>
      <c r="W23" s="143"/>
      <c r="X23" s="244"/>
      <c r="Y23" s="143"/>
      <c r="Z23" s="143"/>
      <c r="AA23" s="143"/>
      <c r="AB23" s="143"/>
      <c r="AC23" s="143"/>
      <c r="AD23" s="244"/>
      <c r="AE23" s="143"/>
      <c r="AF23" s="143"/>
      <c r="AG23" s="143"/>
      <c r="AH23" s="143"/>
      <c r="AI23" s="242"/>
      <c r="AJ23" s="143"/>
      <c r="AK23" s="143"/>
      <c r="AL23" s="143"/>
      <c r="AM23" s="143"/>
      <c r="AN23" s="244"/>
      <c r="AO23" s="143"/>
      <c r="AP23" s="143"/>
      <c r="AQ23" s="143"/>
      <c r="AR23" s="143"/>
      <c r="AS23" s="143"/>
      <c r="AT23" s="244"/>
      <c r="AU23" s="143"/>
      <c r="AV23" s="143"/>
      <c r="AW23" s="143"/>
      <c r="AX23" s="143"/>
      <c r="AY23" s="244"/>
      <c r="AZ23" s="143"/>
      <c r="BA23" s="143"/>
      <c r="BB23" s="143"/>
      <c r="BC23" s="143"/>
      <c r="BD23" s="244"/>
      <c r="BE23" s="143"/>
      <c r="BF23" s="143"/>
      <c r="BG23" s="143"/>
      <c r="BH23" s="143"/>
      <c r="BI23" s="143"/>
      <c r="BJ23" s="244"/>
      <c r="BK23" s="143"/>
      <c r="BL23" s="143"/>
      <c r="BM23" s="143"/>
      <c r="BN23" s="143"/>
      <c r="BO23" s="242"/>
      <c r="BP23" s="143">
        <f t="shared" si="0"/>
        <v>0</v>
      </c>
      <c r="BQ23" s="143">
        <f t="shared" si="1"/>
        <v>0</v>
      </c>
      <c r="BR23" s="275">
        <f t="shared" si="2"/>
        <v>0</v>
      </c>
      <c r="BS23" s="246">
        <f t="shared" si="4"/>
        <v>20</v>
      </c>
      <c r="BT23" s="247">
        <f t="shared" si="5"/>
        <v>0</v>
      </c>
      <c r="BU23" s="247">
        <f t="shared" si="6"/>
        <v>0</v>
      </c>
    </row>
    <row r="24" spans="1:73" s="166" customFormat="1" ht="13.5">
      <c r="A24" s="246">
        <v>21</v>
      </c>
      <c r="B24"/>
      <c r="C24"/>
      <c r="D24" s="143"/>
      <c r="E24" s="143"/>
      <c r="F24" s="143"/>
      <c r="G24" s="143"/>
      <c r="H24" s="242"/>
      <c r="I24" s="143"/>
      <c r="J24" s="143"/>
      <c r="K24" s="243"/>
      <c r="L24" s="243"/>
      <c r="M24" s="244"/>
      <c r="N24" s="143"/>
      <c r="O24" s="143"/>
      <c r="P24" s="143"/>
      <c r="Q24" s="143"/>
      <c r="R24" s="143"/>
      <c r="S24" s="244"/>
      <c r="T24" s="143"/>
      <c r="U24" s="143"/>
      <c r="V24" s="143"/>
      <c r="W24" s="143"/>
      <c r="X24" s="244"/>
      <c r="Y24" s="143"/>
      <c r="Z24" s="143"/>
      <c r="AA24" s="143"/>
      <c r="AB24" s="143"/>
      <c r="AC24" s="143"/>
      <c r="AD24" s="244"/>
      <c r="AE24" s="143"/>
      <c r="AF24" s="143"/>
      <c r="AG24" s="143"/>
      <c r="AH24" s="143"/>
      <c r="AI24" s="242"/>
      <c r="AJ24" s="143"/>
      <c r="AK24" s="143"/>
      <c r="AL24" s="143"/>
      <c r="AM24" s="143"/>
      <c r="AN24" s="244"/>
      <c r="AO24" s="143"/>
      <c r="AP24" s="143"/>
      <c r="AQ24" s="143"/>
      <c r="AR24" s="143"/>
      <c r="AS24" s="143"/>
      <c r="AT24" s="244"/>
      <c r="AU24" s="143"/>
      <c r="AV24" s="143"/>
      <c r="AW24" s="143"/>
      <c r="AX24" s="143"/>
      <c r="AY24" s="244"/>
      <c r="AZ24" s="143"/>
      <c r="BA24" s="143"/>
      <c r="BB24" s="143"/>
      <c r="BC24" s="143"/>
      <c r="BD24" s="244"/>
      <c r="BE24" s="143"/>
      <c r="BF24" s="143"/>
      <c r="BG24" s="143"/>
      <c r="BH24" s="143"/>
      <c r="BI24" s="143"/>
      <c r="BJ24" s="244"/>
      <c r="BK24" s="143"/>
      <c r="BL24" s="143"/>
      <c r="BM24" s="143"/>
      <c r="BN24" s="143"/>
      <c r="BO24" s="242"/>
      <c r="BP24" s="143">
        <f t="shared" si="0"/>
        <v>0</v>
      </c>
      <c r="BQ24" s="143">
        <f t="shared" si="1"/>
        <v>0</v>
      </c>
      <c r="BR24" s="275">
        <f t="shared" si="2"/>
        <v>0</v>
      </c>
      <c r="BS24" s="246">
        <f t="shared" si="4"/>
        <v>21</v>
      </c>
      <c r="BT24" s="247">
        <f t="shared" si="5"/>
        <v>0</v>
      </c>
      <c r="BU24" s="247"/>
    </row>
    <row r="25" spans="1:73" s="166" customFormat="1" ht="13.5">
      <c r="A25" s="246">
        <v>22</v>
      </c>
      <c r="B25"/>
      <c r="C25"/>
      <c r="D25" s="143"/>
      <c r="E25" s="143"/>
      <c r="F25" s="143"/>
      <c r="G25" s="143"/>
      <c r="H25" s="242"/>
      <c r="I25" s="143"/>
      <c r="J25" s="143"/>
      <c r="K25" s="243"/>
      <c r="L25" s="243"/>
      <c r="M25" s="244"/>
      <c r="N25" s="143"/>
      <c r="O25" s="143"/>
      <c r="P25" s="143"/>
      <c r="Q25" s="143"/>
      <c r="R25" s="143"/>
      <c r="S25" s="244"/>
      <c r="T25" s="143"/>
      <c r="U25" s="143"/>
      <c r="V25" s="143"/>
      <c r="W25" s="143"/>
      <c r="X25" s="244"/>
      <c r="Y25" s="143"/>
      <c r="Z25" s="143"/>
      <c r="AA25" s="143"/>
      <c r="AB25" s="143"/>
      <c r="AC25" s="143"/>
      <c r="AD25" s="244"/>
      <c r="AE25" s="143"/>
      <c r="AF25" s="143"/>
      <c r="AG25" s="143"/>
      <c r="AH25" s="143"/>
      <c r="AI25" s="242"/>
      <c r="AJ25" s="143"/>
      <c r="AK25" s="143"/>
      <c r="AL25" s="143"/>
      <c r="AM25" s="143"/>
      <c r="AN25" s="244"/>
      <c r="AO25" s="143"/>
      <c r="AP25" s="143"/>
      <c r="AQ25" s="143"/>
      <c r="AR25" s="143"/>
      <c r="AS25" s="143"/>
      <c r="AT25" s="244"/>
      <c r="AU25" s="143"/>
      <c r="AV25" s="143"/>
      <c r="AW25" s="143"/>
      <c r="AX25" s="143"/>
      <c r="AY25" s="244"/>
      <c r="AZ25" s="143"/>
      <c r="BA25" s="143"/>
      <c r="BB25" s="143"/>
      <c r="BC25" s="143"/>
      <c r="BD25" s="244"/>
      <c r="BE25" s="143"/>
      <c r="BF25" s="143"/>
      <c r="BG25" s="143"/>
      <c r="BH25" s="143"/>
      <c r="BI25" s="143"/>
      <c r="BJ25" s="244"/>
      <c r="BK25" s="143"/>
      <c r="BL25" s="143"/>
      <c r="BM25" s="143"/>
      <c r="BN25" s="143"/>
      <c r="BO25" s="242"/>
      <c r="BP25" s="143">
        <f t="shared" si="0"/>
        <v>0</v>
      </c>
      <c r="BQ25" s="143">
        <f t="shared" si="1"/>
        <v>0</v>
      </c>
      <c r="BR25" s="275">
        <f t="shared" si="2"/>
        <v>0</v>
      </c>
      <c r="BS25" s="246">
        <f t="shared" si="4"/>
        <v>22</v>
      </c>
      <c r="BT25" s="247">
        <f t="shared" si="5"/>
        <v>0</v>
      </c>
      <c r="BU25" s="247">
        <f aca="true" t="shared" si="7" ref="BU25:BU30">C25</f>
        <v>0</v>
      </c>
    </row>
    <row r="26" spans="1:73" s="166" customFormat="1" ht="13.5">
      <c r="A26" s="246">
        <v>23</v>
      </c>
      <c r="B26"/>
      <c r="C26"/>
      <c r="D26" s="143"/>
      <c r="E26" s="143"/>
      <c r="F26" s="143"/>
      <c r="G26" s="143"/>
      <c r="H26" s="242"/>
      <c r="I26" s="143"/>
      <c r="J26" s="143"/>
      <c r="K26" s="243"/>
      <c r="L26" s="243"/>
      <c r="M26" s="244"/>
      <c r="N26" s="143"/>
      <c r="O26" s="143"/>
      <c r="P26" s="143"/>
      <c r="Q26" s="143"/>
      <c r="R26" s="143"/>
      <c r="S26" s="244"/>
      <c r="T26" s="143"/>
      <c r="U26" s="143"/>
      <c r="V26" s="143"/>
      <c r="W26" s="143"/>
      <c r="X26" s="244"/>
      <c r="Y26" s="143"/>
      <c r="Z26" s="143"/>
      <c r="AA26" s="143"/>
      <c r="AB26" s="143"/>
      <c r="AC26" s="143"/>
      <c r="AD26" s="244"/>
      <c r="AE26" s="143"/>
      <c r="AF26" s="143"/>
      <c r="AG26" s="143"/>
      <c r="AH26" s="143"/>
      <c r="AI26" s="242"/>
      <c r="AJ26" s="143"/>
      <c r="AK26" s="143"/>
      <c r="AL26" s="143"/>
      <c r="AM26" s="143"/>
      <c r="AN26" s="244"/>
      <c r="AO26" s="143"/>
      <c r="AP26" s="143"/>
      <c r="AQ26" s="143"/>
      <c r="AR26" s="143"/>
      <c r="AS26" s="143"/>
      <c r="AT26" s="244"/>
      <c r="AU26" s="143"/>
      <c r="AV26" s="143"/>
      <c r="AW26" s="143"/>
      <c r="AX26" s="143"/>
      <c r="AY26" s="244"/>
      <c r="AZ26" s="143"/>
      <c r="BA26" s="143"/>
      <c r="BB26" s="143"/>
      <c r="BC26" s="143"/>
      <c r="BD26" s="244"/>
      <c r="BE26" s="143"/>
      <c r="BF26" s="143"/>
      <c r="BG26" s="143"/>
      <c r="BH26" s="143"/>
      <c r="BI26" s="143"/>
      <c r="BJ26" s="244"/>
      <c r="BK26" s="143"/>
      <c r="BL26" s="143"/>
      <c r="BM26" s="143"/>
      <c r="BN26" s="143"/>
      <c r="BO26" s="242"/>
      <c r="BP26" s="143">
        <f t="shared" si="0"/>
        <v>0</v>
      </c>
      <c r="BQ26" s="143">
        <f t="shared" si="1"/>
        <v>0</v>
      </c>
      <c r="BR26" s="275">
        <f t="shared" si="2"/>
        <v>0</v>
      </c>
      <c r="BS26" s="246">
        <f t="shared" si="4"/>
        <v>23</v>
      </c>
      <c r="BT26" s="247">
        <f t="shared" si="5"/>
        <v>0</v>
      </c>
      <c r="BU26" s="247">
        <f t="shared" si="7"/>
        <v>0</v>
      </c>
    </row>
    <row r="27" spans="1:73" s="166" customFormat="1" ht="13.5">
      <c r="A27" s="246">
        <v>24</v>
      </c>
      <c r="B27"/>
      <c r="C27"/>
      <c r="D27" s="143"/>
      <c r="E27" s="143"/>
      <c r="F27" s="143"/>
      <c r="G27" s="143"/>
      <c r="H27" s="242"/>
      <c r="I27" s="143"/>
      <c r="J27" s="143"/>
      <c r="K27" s="243"/>
      <c r="L27" s="243"/>
      <c r="M27" s="244"/>
      <c r="N27" s="143"/>
      <c r="O27" s="143"/>
      <c r="P27" s="143"/>
      <c r="Q27" s="143"/>
      <c r="R27" s="143"/>
      <c r="S27" s="244"/>
      <c r="T27" s="143"/>
      <c r="U27" s="143"/>
      <c r="V27" s="143"/>
      <c r="W27" s="143"/>
      <c r="X27" s="244"/>
      <c r="Y27" s="143"/>
      <c r="Z27" s="143"/>
      <c r="AA27" s="143"/>
      <c r="AB27" s="143"/>
      <c r="AC27" s="143"/>
      <c r="AD27" s="244"/>
      <c r="AE27" s="143"/>
      <c r="AF27" s="143"/>
      <c r="AG27" s="143"/>
      <c r="AH27" s="143"/>
      <c r="AI27" s="242"/>
      <c r="AJ27" s="143"/>
      <c r="AK27" s="143"/>
      <c r="AL27" s="143"/>
      <c r="AM27" s="143"/>
      <c r="AN27" s="244"/>
      <c r="AO27" s="143"/>
      <c r="AP27" s="143"/>
      <c r="AQ27" s="143"/>
      <c r="AR27" s="143"/>
      <c r="AS27" s="143"/>
      <c r="AT27" s="244"/>
      <c r="AU27" s="143"/>
      <c r="AV27" s="143"/>
      <c r="AW27" s="143"/>
      <c r="AX27" s="143"/>
      <c r="AY27" s="244"/>
      <c r="AZ27" s="143"/>
      <c r="BA27" s="143"/>
      <c r="BB27" s="143"/>
      <c r="BC27" s="143"/>
      <c r="BD27" s="244"/>
      <c r="BE27" s="143"/>
      <c r="BF27" s="143"/>
      <c r="BG27" s="143"/>
      <c r="BH27" s="143"/>
      <c r="BI27" s="143"/>
      <c r="BJ27" s="244"/>
      <c r="BK27" s="143"/>
      <c r="BL27" s="143"/>
      <c r="BM27" s="143"/>
      <c r="BN27" s="143"/>
      <c r="BO27" s="242"/>
      <c r="BP27" s="143">
        <f t="shared" si="0"/>
        <v>0</v>
      </c>
      <c r="BQ27" s="143">
        <f t="shared" si="1"/>
        <v>0</v>
      </c>
      <c r="BR27" s="275">
        <f t="shared" si="2"/>
        <v>0</v>
      </c>
      <c r="BS27" s="246">
        <f t="shared" si="4"/>
        <v>24</v>
      </c>
      <c r="BT27" s="247">
        <f t="shared" si="5"/>
        <v>0</v>
      </c>
      <c r="BU27" s="247">
        <f t="shared" si="7"/>
        <v>0</v>
      </c>
    </row>
    <row r="28" spans="1:73" s="166" customFormat="1" ht="13.5">
      <c r="A28" s="246">
        <v>25</v>
      </c>
      <c r="B28"/>
      <c r="C28"/>
      <c r="D28" s="143"/>
      <c r="E28" s="143"/>
      <c r="F28" s="143"/>
      <c r="G28" s="143"/>
      <c r="H28" s="242"/>
      <c r="I28" s="143"/>
      <c r="J28" s="143"/>
      <c r="K28" s="243"/>
      <c r="L28" s="243"/>
      <c r="M28" s="244"/>
      <c r="N28" s="143"/>
      <c r="O28" s="143"/>
      <c r="P28" s="143"/>
      <c r="Q28" s="143"/>
      <c r="R28" s="143"/>
      <c r="S28" s="244"/>
      <c r="T28" s="143"/>
      <c r="U28" s="143"/>
      <c r="V28" s="143"/>
      <c r="W28" s="143"/>
      <c r="X28" s="244"/>
      <c r="Y28" s="143"/>
      <c r="Z28" s="143"/>
      <c r="AA28" s="143"/>
      <c r="AB28" s="143"/>
      <c r="AC28" s="143"/>
      <c r="AD28" s="244"/>
      <c r="AE28" s="143"/>
      <c r="AF28" s="143"/>
      <c r="AG28" s="143"/>
      <c r="AH28" s="143"/>
      <c r="AI28" s="242"/>
      <c r="AJ28" s="143"/>
      <c r="AK28" s="143"/>
      <c r="AL28" s="143"/>
      <c r="AM28" s="143"/>
      <c r="AN28" s="244"/>
      <c r="AO28" s="143"/>
      <c r="AP28" s="143"/>
      <c r="AQ28" s="143"/>
      <c r="AR28" s="143"/>
      <c r="AS28" s="143"/>
      <c r="AT28" s="244"/>
      <c r="AU28" s="143"/>
      <c r="AV28" s="143"/>
      <c r="AW28" s="143"/>
      <c r="AX28" s="143"/>
      <c r="AY28" s="244"/>
      <c r="AZ28" s="143"/>
      <c r="BA28" s="143"/>
      <c r="BB28" s="143"/>
      <c r="BC28" s="143"/>
      <c r="BD28" s="244"/>
      <c r="BE28" s="143"/>
      <c r="BF28" s="143"/>
      <c r="BG28" s="143"/>
      <c r="BH28" s="143"/>
      <c r="BI28" s="143"/>
      <c r="BJ28" s="244"/>
      <c r="BK28" s="143"/>
      <c r="BL28" s="143"/>
      <c r="BM28" s="143"/>
      <c r="BN28" s="143"/>
      <c r="BO28" s="242"/>
      <c r="BP28" s="143">
        <f t="shared" si="0"/>
        <v>0</v>
      </c>
      <c r="BQ28" s="143">
        <f t="shared" si="1"/>
        <v>0</v>
      </c>
      <c r="BR28" s="275">
        <f t="shared" si="2"/>
        <v>0</v>
      </c>
      <c r="BS28" s="246">
        <f t="shared" si="4"/>
        <v>25</v>
      </c>
      <c r="BT28" s="247">
        <f t="shared" si="5"/>
        <v>0</v>
      </c>
      <c r="BU28" s="247">
        <f t="shared" si="7"/>
        <v>0</v>
      </c>
    </row>
    <row r="29" spans="1:73" s="166" customFormat="1" ht="13.5">
      <c r="A29" s="246">
        <v>26</v>
      </c>
      <c r="B29"/>
      <c r="C29"/>
      <c r="D29" s="143"/>
      <c r="E29" s="143"/>
      <c r="F29" s="143"/>
      <c r="G29" s="143"/>
      <c r="H29" s="242"/>
      <c r="I29" s="143"/>
      <c r="J29" s="143"/>
      <c r="K29" s="243"/>
      <c r="L29" s="243"/>
      <c r="M29" s="244"/>
      <c r="N29" s="143"/>
      <c r="O29" s="143"/>
      <c r="P29" s="143"/>
      <c r="Q29" s="143"/>
      <c r="R29" s="143"/>
      <c r="S29" s="244"/>
      <c r="T29" s="143"/>
      <c r="U29" s="143"/>
      <c r="V29" s="143"/>
      <c r="W29" s="143"/>
      <c r="X29" s="244"/>
      <c r="Y29" s="143"/>
      <c r="Z29" s="143"/>
      <c r="AA29" s="143"/>
      <c r="AB29" s="143"/>
      <c r="AC29" s="143"/>
      <c r="AD29" s="244"/>
      <c r="AE29" s="143"/>
      <c r="AF29" s="143"/>
      <c r="AG29" s="143"/>
      <c r="AH29" s="143"/>
      <c r="AI29" s="242"/>
      <c r="AJ29" s="143"/>
      <c r="AK29" s="143"/>
      <c r="AL29" s="143"/>
      <c r="AM29" s="143"/>
      <c r="AN29" s="244"/>
      <c r="AO29" s="143"/>
      <c r="AP29" s="143"/>
      <c r="AQ29" s="143"/>
      <c r="AR29" s="143"/>
      <c r="AS29" s="143"/>
      <c r="AT29" s="244"/>
      <c r="AU29" s="143"/>
      <c r="AV29" s="143"/>
      <c r="AW29" s="143"/>
      <c r="AX29" s="143"/>
      <c r="AY29" s="244"/>
      <c r="AZ29" s="143"/>
      <c r="BA29" s="143"/>
      <c r="BB29" s="143"/>
      <c r="BC29" s="143"/>
      <c r="BD29" s="244"/>
      <c r="BE29" s="143"/>
      <c r="BF29" s="143"/>
      <c r="BG29" s="143"/>
      <c r="BH29" s="143"/>
      <c r="BI29" s="143"/>
      <c r="BJ29" s="244"/>
      <c r="BK29" s="143"/>
      <c r="BL29" s="143"/>
      <c r="BM29" s="143"/>
      <c r="BN29" s="143"/>
      <c r="BO29" s="242"/>
      <c r="BP29" s="143">
        <f t="shared" si="0"/>
        <v>0</v>
      </c>
      <c r="BQ29" s="143">
        <f t="shared" si="1"/>
        <v>0</v>
      </c>
      <c r="BR29" s="275">
        <f t="shared" si="2"/>
        <v>0</v>
      </c>
      <c r="BS29" s="246">
        <f t="shared" si="4"/>
        <v>26</v>
      </c>
      <c r="BT29" s="247">
        <f t="shared" si="5"/>
        <v>0</v>
      </c>
      <c r="BU29" s="247">
        <f t="shared" si="7"/>
        <v>0</v>
      </c>
    </row>
    <row r="30" spans="1:73" s="166" customFormat="1" ht="13.5">
      <c r="A30" s="246">
        <v>27</v>
      </c>
      <c r="B30"/>
      <c r="C30"/>
      <c r="D30" s="143"/>
      <c r="E30" s="143"/>
      <c r="F30" s="143"/>
      <c r="G30" s="143"/>
      <c r="H30" s="242"/>
      <c r="I30" s="143"/>
      <c r="J30" s="143"/>
      <c r="K30" s="243"/>
      <c r="L30" s="243"/>
      <c r="M30" s="244"/>
      <c r="N30" s="143"/>
      <c r="O30" s="143"/>
      <c r="P30" s="143"/>
      <c r="Q30" s="143"/>
      <c r="R30" s="143"/>
      <c r="S30" s="244"/>
      <c r="T30" s="143"/>
      <c r="U30" s="143"/>
      <c r="V30" s="143"/>
      <c r="W30" s="143"/>
      <c r="X30" s="244"/>
      <c r="Y30" s="143"/>
      <c r="Z30" s="143"/>
      <c r="AA30" s="143"/>
      <c r="AB30" s="143"/>
      <c r="AC30" s="143"/>
      <c r="AD30" s="244"/>
      <c r="AE30" s="143"/>
      <c r="AF30" s="143"/>
      <c r="AG30" s="143"/>
      <c r="AH30" s="143"/>
      <c r="AI30" s="242"/>
      <c r="AJ30" s="143"/>
      <c r="AK30" s="143"/>
      <c r="AL30" s="143"/>
      <c r="AM30" s="143"/>
      <c r="AN30" s="244"/>
      <c r="AO30" s="143"/>
      <c r="AP30" s="143"/>
      <c r="AQ30" s="143"/>
      <c r="AR30" s="143"/>
      <c r="AS30" s="143"/>
      <c r="AT30" s="244"/>
      <c r="AU30" s="143"/>
      <c r="AV30" s="143"/>
      <c r="AW30" s="143"/>
      <c r="AX30" s="143"/>
      <c r="AY30" s="244"/>
      <c r="AZ30" s="143"/>
      <c r="BA30" s="143"/>
      <c r="BB30" s="143"/>
      <c r="BC30" s="143"/>
      <c r="BD30" s="244"/>
      <c r="BE30" s="143"/>
      <c r="BF30" s="143"/>
      <c r="BG30" s="143"/>
      <c r="BH30" s="143"/>
      <c r="BI30" s="143"/>
      <c r="BJ30" s="244"/>
      <c r="BK30" s="143"/>
      <c r="BL30" s="143"/>
      <c r="BM30" s="143"/>
      <c r="BN30" s="143"/>
      <c r="BO30" s="242"/>
      <c r="BP30" s="143">
        <f t="shared" si="0"/>
        <v>0</v>
      </c>
      <c r="BQ30" s="143">
        <f t="shared" si="1"/>
        <v>0</v>
      </c>
      <c r="BR30" s="275">
        <f t="shared" si="2"/>
        <v>0</v>
      </c>
      <c r="BS30" s="246">
        <f t="shared" si="4"/>
        <v>27</v>
      </c>
      <c r="BT30" s="247">
        <f t="shared" si="5"/>
        <v>0</v>
      </c>
      <c r="BU30" s="247">
        <f t="shared" si="7"/>
        <v>0</v>
      </c>
    </row>
    <row r="31" spans="1:73" s="166" customFormat="1" ht="13.5">
      <c r="A31" s="246">
        <v>28</v>
      </c>
      <c r="B31"/>
      <c r="C31"/>
      <c r="D31" s="143"/>
      <c r="E31" s="143"/>
      <c r="F31" s="143"/>
      <c r="G31" s="143"/>
      <c r="H31" s="242"/>
      <c r="I31" s="143"/>
      <c r="J31" s="143"/>
      <c r="K31" s="243"/>
      <c r="L31" s="243"/>
      <c r="M31" s="244"/>
      <c r="N31" s="143"/>
      <c r="O31" s="143"/>
      <c r="P31" s="143"/>
      <c r="Q31" s="143"/>
      <c r="R31" s="143"/>
      <c r="S31" s="244"/>
      <c r="T31" s="143"/>
      <c r="U31" s="143"/>
      <c r="V31" s="143"/>
      <c r="W31" s="143"/>
      <c r="X31" s="244"/>
      <c r="Y31" s="143"/>
      <c r="Z31" s="143"/>
      <c r="AA31" s="143"/>
      <c r="AB31" s="143"/>
      <c r="AC31" s="143"/>
      <c r="AD31" s="244"/>
      <c r="AE31" s="143"/>
      <c r="AF31" s="143"/>
      <c r="AG31" s="143"/>
      <c r="AH31" s="143"/>
      <c r="AI31" s="242"/>
      <c r="AJ31" s="143"/>
      <c r="AK31" s="143"/>
      <c r="AL31" s="143"/>
      <c r="AM31" s="143"/>
      <c r="AN31" s="244"/>
      <c r="AO31" s="143"/>
      <c r="AP31" s="143"/>
      <c r="AQ31" s="143"/>
      <c r="AR31" s="143"/>
      <c r="AS31" s="143"/>
      <c r="AT31" s="244"/>
      <c r="AU31" s="143"/>
      <c r="AV31" s="143"/>
      <c r="AW31" s="143"/>
      <c r="AX31" s="143"/>
      <c r="AY31" s="244"/>
      <c r="AZ31" s="143"/>
      <c r="BA31" s="143"/>
      <c r="BB31" s="143"/>
      <c r="BC31" s="143"/>
      <c r="BD31" s="244"/>
      <c r="BE31" s="143"/>
      <c r="BF31" s="143"/>
      <c r="BG31" s="143"/>
      <c r="BH31" s="143"/>
      <c r="BI31" s="143"/>
      <c r="BJ31" s="244"/>
      <c r="BK31" s="143"/>
      <c r="BL31" s="143"/>
      <c r="BM31" s="143"/>
      <c r="BN31" s="143"/>
      <c r="BO31" s="242"/>
      <c r="BP31" s="143">
        <f t="shared" si="0"/>
        <v>0</v>
      </c>
      <c r="BQ31" s="143">
        <f t="shared" si="1"/>
        <v>0</v>
      </c>
      <c r="BR31" s="275">
        <f t="shared" si="2"/>
        <v>0</v>
      </c>
      <c r="BS31" s="246">
        <f t="shared" si="4"/>
        <v>28</v>
      </c>
      <c r="BT31" s="247">
        <f t="shared" si="5"/>
        <v>0</v>
      </c>
      <c r="BU31" s="247"/>
    </row>
    <row r="32" spans="1:73" s="166" customFormat="1" ht="13.5">
      <c r="A32" s="246">
        <v>29</v>
      </c>
      <c r="B32"/>
      <c r="C32"/>
      <c r="D32" s="143"/>
      <c r="E32" s="143"/>
      <c r="F32" s="143"/>
      <c r="G32" s="143"/>
      <c r="H32" s="242"/>
      <c r="I32" s="143"/>
      <c r="J32" s="143"/>
      <c r="K32" s="243"/>
      <c r="L32" s="243"/>
      <c r="M32" s="244"/>
      <c r="N32" s="143"/>
      <c r="O32" s="143"/>
      <c r="P32" s="143"/>
      <c r="Q32" s="143"/>
      <c r="R32" s="143"/>
      <c r="S32" s="244"/>
      <c r="T32" s="143"/>
      <c r="U32" s="143"/>
      <c r="V32" s="143"/>
      <c r="W32" s="143"/>
      <c r="X32" s="244"/>
      <c r="Y32" s="143"/>
      <c r="Z32" s="143"/>
      <c r="AA32" s="143"/>
      <c r="AB32" s="143"/>
      <c r="AC32" s="143"/>
      <c r="AD32" s="244"/>
      <c r="AE32" s="143"/>
      <c r="AF32" s="143"/>
      <c r="AG32" s="143"/>
      <c r="AH32" s="143"/>
      <c r="AI32" s="242"/>
      <c r="AJ32" s="143"/>
      <c r="AK32" s="143"/>
      <c r="AL32" s="143"/>
      <c r="AM32" s="143"/>
      <c r="AN32" s="244"/>
      <c r="AO32" s="143"/>
      <c r="AP32" s="143"/>
      <c r="AQ32" s="143"/>
      <c r="AR32" s="143"/>
      <c r="AS32" s="143"/>
      <c r="AT32" s="244"/>
      <c r="AU32" s="143"/>
      <c r="AV32" s="143"/>
      <c r="AW32" s="143"/>
      <c r="AX32" s="143"/>
      <c r="AY32" s="244"/>
      <c r="AZ32" s="143"/>
      <c r="BA32" s="143"/>
      <c r="BB32" s="143"/>
      <c r="BC32" s="143"/>
      <c r="BD32" s="244"/>
      <c r="BE32" s="143"/>
      <c r="BF32" s="143"/>
      <c r="BG32" s="143"/>
      <c r="BH32" s="143"/>
      <c r="BI32" s="143"/>
      <c r="BJ32" s="244"/>
      <c r="BK32" s="143"/>
      <c r="BL32" s="143"/>
      <c r="BM32" s="143"/>
      <c r="BN32" s="143"/>
      <c r="BO32" s="242"/>
      <c r="BP32" s="143">
        <f t="shared" si="0"/>
        <v>0</v>
      </c>
      <c r="BQ32" s="143">
        <f t="shared" si="1"/>
        <v>0</v>
      </c>
      <c r="BR32" s="275">
        <f t="shared" si="2"/>
        <v>0</v>
      </c>
      <c r="BS32" s="246">
        <f t="shared" si="4"/>
        <v>29</v>
      </c>
      <c r="BT32" s="247">
        <f t="shared" si="5"/>
        <v>0</v>
      </c>
      <c r="BU32" s="247">
        <f aca="true" t="shared" si="8" ref="BU32:BU40">C32</f>
        <v>0</v>
      </c>
    </row>
    <row r="33" spans="1:73" s="166" customFormat="1" ht="13.5">
      <c r="A33" s="246">
        <v>30</v>
      </c>
      <c r="B33"/>
      <c r="C33"/>
      <c r="D33" s="143"/>
      <c r="E33" s="143"/>
      <c r="F33" s="143"/>
      <c r="G33" s="143"/>
      <c r="H33" s="242"/>
      <c r="I33" s="143"/>
      <c r="J33" s="143"/>
      <c r="K33" s="243"/>
      <c r="L33" s="243"/>
      <c r="M33" s="244"/>
      <c r="N33" s="143"/>
      <c r="O33" s="143"/>
      <c r="P33" s="143"/>
      <c r="Q33" s="143"/>
      <c r="R33" s="143"/>
      <c r="S33" s="244"/>
      <c r="T33" s="143"/>
      <c r="U33" s="143"/>
      <c r="V33" s="143"/>
      <c r="W33" s="143"/>
      <c r="X33" s="244"/>
      <c r="Y33" s="143"/>
      <c r="Z33" s="143"/>
      <c r="AA33" s="143"/>
      <c r="AB33" s="143"/>
      <c r="AC33" s="143"/>
      <c r="AD33" s="244"/>
      <c r="AE33" s="143"/>
      <c r="AF33" s="143"/>
      <c r="AG33" s="143"/>
      <c r="AH33" s="143"/>
      <c r="AI33" s="242"/>
      <c r="AJ33" s="143"/>
      <c r="AK33" s="143"/>
      <c r="AL33" s="143"/>
      <c r="AM33" s="143"/>
      <c r="AN33" s="244"/>
      <c r="AO33" s="143"/>
      <c r="AP33" s="143"/>
      <c r="AQ33" s="143"/>
      <c r="AR33" s="143"/>
      <c r="AS33" s="143"/>
      <c r="AT33" s="244"/>
      <c r="AU33" s="143"/>
      <c r="AV33" s="143"/>
      <c r="AW33" s="143"/>
      <c r="AX33" s="143"/>
      <c r="AY33" s="244"/>
      <c r="AZ33" s="143"/>
      <c r="BA33" s="143"/>
      <c r="BB33" s="143"/>
      <c r="BC33" s="143"/>
      <c r="BD33" s="244"/>
      <c r="BE33" s="143"/>
      <c r="BF33" s="143"/>
      <c r="BG33" s="143"/>
      <c r="BH33" s="143"/>
      <c r="BI33" s="143"/>
      <c r="BJ33" s="244"/>
      <c r="BK33" s="143"/>
      <c r="BL33" s="143"/>
      <c r="BM33" s="143"/>
      <c r="BN33" s="143"/>
      <c r="BO33" s="242"/>
      <c r="BP33" s="143">
        <f t="shared" si="0"/>
        <v>0</v>
      </c>
      <c r="BQ33" s="143">
        <f t="shared" si="1"/>
        <v>0</v>
      </c>
      <c r="BR33" s="275">
        <f t="shared" si="2"/>
        <v>0</v>
      </c>
      <c r="BS33" s="246">
        <f t="shared" si="4"/>
        <v>30</v>
      </c>
      <c r="BT33" s="247">
        <f t="shared" si="5"/>
        <v>0</v>
      </c>
      <c r="BU33" s="247">
        <f t="shared" si="8"/>
        <v>0</v>
      </c>
    </row>
    <row r="34" spans="1:73" s="166" customFormat="1" ht="13.5">
      <c r="A34" s="246">
        <v>31</v>
      </c>
      <c r="B34"/>
      <c r="C34"/>
      <c r="D34" s="143"/>
      <c r="E34" s="143"/>
      <c r="F34" s="143"/>
      <c r="G34" s="143"/>
      <c r="H34" s="242"/>
      <c r="I34" s="143"/>
      <c r="J34" s="143"/>
      <c r="K34" s="243"/>
      <c r="L34" s="243"/>
      <c r="M34" s="244"/>
      <c r="N34" s="143"/>
      <c r="O34" s="143"/>
      <c r="P34" s="143"/>
      <c r="Q34" s="143"/>
      <c r="R34" s="143"/>
      <c r="S34" s="244"/>
      <c r="T34" s="143"/>
      <c r="U34" s="143"/>
      <c r="V34" s="143"/>
      <c r="W34" s="143"/>
      <c r="X34" s="244"/>
      <c r="Y34" s="143"/>
      <c r="Z34" s="143"/>
      <c r="AA34" s="143"/>
      <c r="AB34" s="143"/>
      <c r="AC34" s="143"/>
      <c r="AD34" s="244"/>
      <c r="AE34" s="143"/>
      <c r="AF34" s="143"/>
      <c r="AG34" s="143"/>
      <c r="AH34" s="143"/>
      <c r="AI34" s="242"/>
      <c r="AJ34" s="143"/>
      <c r="AK34" s="143"/>
      <c r="AL34" s="143"/>
      <c r="AM34" s="143"/>
      <c r="AN34" s="244"/>
      <c r="AO34" s="143"/>
      <c r="AP34" s="143"/>
      <c r="AQ34" s="143"/>
      <c r="AR34" s="143"/>
      <c r="AS34" s="143"/>
      <c r="AT34" s="244"/>
      <c r="AU34" s="143"/>
      <c r="AV34" s="143"/>
      <c r="AW34" s="143"/>
      <c r="AX34" s="143"/>
      <c r="AY34" s="244"/>
      <c r="AZ34" s="143"/>
      <c r="BA34" s="143"/>
      <c r="BB34" s="143"/>
      <c r="BC34" s="143"/>
      <c r="BD34" s="244"/>
      <c r="BE34" s="143"/>
      <c r="BF34" s="143"/>
      <c r="BG34" s="143"/>
      <c r="BH34" s="143"/>
      <c r="BI34" s="143"/>
      <c r="BJ34" s="244"/>
      <c r="BK34" s="143"/>
      <c r="BL34" s="143"/>
      <c r="BM34" s="143"/>
      <c r="BN34" s="143"/>
      <c r="BO34" s="242"/>
      <c r="BP34" s="143">
        <f t="shared" si="0"/>
        <v>0</v>
      </c>
      <c r="BQ34" s="143">
        <f t="shared" si="1"/>
        <v>0</v>
      </c>
      <c r="BR34" s="275">
        <f t="shared" si="2"/>
        <v>0</v>
      </c>
      <c r="BS34" s="246">
        <f t="shared" si="4"/>
        <v>31</v>
      </c>
      <c r="BT34" s="247">
        <f t="shared" si="5"/>
        <v>0</v>
      </c>
      <c r="BU34" s="247">
        <f t="shared" si="8"/>
        <v>0</v>
      </c>
    </row>
    <row r="35" spans="1:73" s="166" customFormat="1" ht="13.5">
      <c r="A35" s="246">
        <v>32</v>
      </c>
      <c r="B35"/>
      <c r="C35"/>
      <c r="D35" s="143"/>
      <c r="E35" s="143"/>
      <c r="F35" s="143"/>
      <c r="G35" s="143"/>
      <c r="H35" s="242"/>
      <c r="I35" s="143"/>
      <c r="J35" s="143"/>
      <c r="K35" s="243"/>
      <c r="L35" s="243"/>
      <c r="M35" s="244"/>
      <c r="N35" s="143"/>
      <c r="O35" s="143"/>
      <c r="P35" s="143"/>
      <c r="Q35" s="143"/>
      <c r="R35" s="143"/>
      <c r="S35" s="244"/>
      <c r="T35" s="143"/>
      <c r="U35" s="143"/>
      <c r="V35" s="143"/>
      <c r="W35" s="143"/>
      <c r="X35" s="244"/>
      <c r="Y35" s="143"/>
      <c r="Z35" s="143"/>
      <c r="AA35" s="143"/>
      <c r="AB35" s="143"/>
      <c r="AC35" s="143"/>
      <c r="AD35" s="244"/>
      <c r="AE35" s="143"/>
      <c r="AF35" s="143"/>
      <c r="AG35" s="143"/>
      <c r="AH35" s="143"/>
      <c r="AI35" s="242"/>
      <c r="AJ35" s="143"/>
      <c r="AK35" s="143"/>
      <c r="AL35" s="143"/>
      <c r="AM35" s="143"/>
      <c r="AN35" s="244"/>
      <c r="AO35" s="143"/>
      <c r="AP35" s="143"/>
      <c r="AQ35" s="143"/>
      <c r="AR35" s="143"/>
      <c r="AS35" s="143"/>
      <c r="AT35" s="244"/>
      <c r="AU35" s="143"/>
      <c r="AV35" s="143"/>
      <c r="AW35" s="143"/>
      <c r="AX35" s="143"/>
      <c r="AY35" s="244"/>
      <c r="AZ35" s="143"/>
      <c r="BA35" s="143"/>
      <c r="BB35" s="143"/>
      <c r="BC35" s="143"/>
      <c r="BD35" s="244"/>
      <c r="BE35" s="143"/>
      <c r="BF35" s="143"/>
      <c r="BG35" s="143"/>
      <c r="BH35" s="143"/>
      <c r="BI35" s="143"/>
      <c r="BJ35" s="244"/>
      <c r="BK35" s="143"/>
      <c r="BL35" s="143"/>
      <c r="BM35" s="143"/>
      <c r="BN35" s="143"/>
      <c r="BO35" s="242"/>
      <c r="BP35" s="143">
        <f t="shared" si="0"/>
        <v>0</v>
      </c>
      <c r="BQ35" s="143">
        <f t="shared" si="1"/>
        <v>0</v>
      </c>
      <c r="BR35" s="275">
        <f t="shared" si="2"/>
        <v>0</v>
      </c>
      <c r="BS35" s="246">
        <f t="shared" si="4"/>
        <v>32</v>
      </c>
      <c r="BT35" s="247">
        <f t="shared" si="5"/>
        <v>0</v>
      </c>
      <c r="BU35" s="247">
        <f t="shared" si="8"/>
        <v>0</v>
      </c>
    </row>
    <row r="36" spans="1:73" s="166" customFormat="1" ht="13.5">
      <c r="A36" s="246">
        <v>33</v>
      </c>
      <c r="B36"/>
      <c r="C36"/>
      <c r="D36" s="143"/>
      <c r="E36" s="143"/>
      <c r="F36" s="143"/>
      <c r="G36" s="143"/>
      <c r="H36" s="242"/>
      <c r="I36" s="143"/>
      <c r="J36" s="143"/>
      <c r="K36" s="243"/>
      <c r="L36" s="243"/>
      <c r="M36" s="244"/>
      <c r="N36" s="143"/>
      <c r="O36" s="143"/>
      <c r="P36" s="143"/>
      <c r="Q36" s="143"/>
      <c r="R36" s="143"/>
      <c r="S36" s="244"/>
      <c r="T36" s="143"/>
      <c r="U36" s="143"/>
      <c r="V36" s="143"/>
      <c r="W36" s="143"/>
      <c r="X36" s="244"/>
      <c r="Y36" s="143"/>
      <c r="Z36" s="143"/>
      <c r="AA36" s="143"/>
      <c r="AB36" s="143"/>
      <c r="AC36" s="143"/>
      <c r="AD36" s="244"/>
      <c r="AE36" s="143"/>
      <c r="AF36" s="143"/>
      <c r="AG36" s="143"/>
      <c r="AH36" s="143"/>
      <c r="AI36" s="242"/>
      <c r="AJ36" s="143"/>
      <c r="AK36" s="143"/>
      <c r="AL36" s="143"/>
      <c r="AM36" s="143"/>
      <c r="AN36" s="244"/>
      <c r="AO36" s="143"/>
      <c r="AP36" s="143"/>
      <c r="AQ36" s="143"/>
      <c r="AR36" s="143"/>
      <c r="AS36" s="143"/>
      <c r="AT36" s="244"/>
      <c r="AU36" s="143"/>
      <c r="AV36" s="143"/>
      <c r="AW36" s="143"/>
      <c r="AX36" s="143"/>
      <c r="AY36" s="244"/>
      <c r="AZ36" s="143"/>
      <c r="BA36" s="143"/>
      <c r="BB36" s="143"/>
      <c r="BC36" s="143"/>
      <c r="BD36" s="244"/>
      <c r="BE36" s="143"/>
      <c r="BF36" s="143"/>
      <c r="BG36" s="143"/>
      <c r="BH36" s="143"/>
      <c r="BI36" s="143"/>
      <c r="BJ36" s="244"/>
      <c r="BK36" s="143"/>
      <c r="BL36" s="143"/>
      <c r="BM36" s="143"/>
      <c r="BN36" s="143"/>
      <c r="BO36" s="242"/>
      <c r="BP36" s="143">
        <f aca="true" t="shared" si="9" ref="BP36:BP67">SUM(D36:BO36)</f>
        <v>0</v>
      </c>
      <c r="BQ36" s="143">
        <f aca="true" t="shared" si="10" ref="BQ36:BQ67">BP36-BO36-BJ36-BD36-AY36-AT36-AN36-AI36-AD36-X36-S36-M36-H36</f>
        <v>0</v>
      </c>
      <c r="BR36" s="275">
        <f aca="true" t="shared" si="11" ref="BR36:BR67">BP36/$BR$3</f>
        <v>0</v>
      </c>
      <c r="BS36" s="246">
        <f t="shared" si="4"/>
        <v>33</v>
      </c>
      <c r="BT36" s="247">
        <f t="shared" si="5"/>
        <v>0</v>
      </c>
      <c r="BU36" s="247">
        <f t="shared" si="8"/>
        <v>0</v>
      </c>
    </row>
    <row r="37" spans="1:73" s="166" customFormat="1" ht="13.5">
      <c r="A37" s="246">
        <v>34</v>
      </c>
      <c r="B37"/>
      <c r="C37"/>
      <c r="D37" s="143"/>
      <c r="E37" s="143"/>
      <c r="F37" s="143"/>
      <c r="G37" s="143"/>
      <c r="H37" s="242"/>
      <c r="I37" s="143"/>
      <c r="J37" s="143"/>
      <c r="K37" s="243"/>
      <c r="L37" s="243"/>
      <c r="M37" s="244"/>
      <c r="N37" s="143"/>
      <c r="O37" s="143"/>
      <c r="P37" s="143"/>
      <c r="Q37" s="143"/>
      <c r="R37" s="143"/>
      <c r="S37" s="244"/>
      <c r="T37" s="143"/>
      <c r="U37" s="143"/>
      <c r="V37" s="143"/>
      <c r="W37" s="143"/>
      <c r="X37" s="244"/>
      <c r="Y37" s="143"/>
      <c r="Z37" s="143"/>
      <c r="AA37" s="143"/>
      <c r="AB37" s="143"/>
      <c r="AC37" s="143"/>
      <c r="AD37" s="244"/>
      <c r="AE37" s="143"/>
      <c r="AF37" s="143"/>
      <c r="AG37" s="143"/>
      <c r="AH37" s="143"/>
      <c r="AI37" s="242"/>
      <c r="AJ37" s="143"/>
      <c r="AK37" s="143"/>
      <c r="AL37" s="143"/>
      <c r="AM37" s="143"/>
      <c r="AN37" s="244"/>
      <c r="AO37" s="143"/>
      <c r="AP37" s="143"/>
      <c r="AQ37" s="143"/>
      <c r="AR37" s="143"/>
      <c r="AS37" s="143"/>
      <c r="AT37" s="244"/>
      <c r="AU37" s="143"/>
      <c r="AV37" s="143"/>
      <c r="AW37" s="143"/>
      <c r="AX37" s="143"/>
      <c r="AY37" s="244"/>
      <c r="AZ37" s="143"/>
      <c r="BA37" s="143"/>
      <c r="BB37" s="143"/>
      <c r="BC37" s="143"/>
      <c r="BD37" s="244"/>
      <c r="BE37" s="143"/>
      <c r="BF37" s="143"/>
      <c r="BG37" s="143"/>
      <c r="BH37" s="143"/>
      <c r="BI37" s="143"/>
      <c r="BJ37" s="244"/>
      <c r="BK37" s="143"/>
      <c r="BL37" s="143"/>
      <c r="BM37" s="143"/>
      <c r="BN37" s="143"/>
      <c r="BO37" s="242"/>
      <c r="BP37" s="143">
        <f t="shared" si="9"/>
        <v>0</v>
      </c>
      <c r="BQ37" s="143">
        <f t="shared" si="10"/>
        <v>0</v>
      </c>
      <c r="BR37" s="275">
        <f t="shared" si="11"/>
        <v>0</v>
      </c>
      <c r="BS37" s="246">
        <f t="shared" si="4"/>
        <v>34</v>
      </c>
      <c r="BT37" s="247">
        <f t="shared" si="5"/>
        <v>0</v>
      </c>
      <c r="BU37" s="247">
        <f t="shared" si="8"/>
        <v>0</v>
      </c>
    </row>
    <row r="38" spans="1:73" s="166" customFormat="1" ht="13.5">
      <c r="A38" s="246">
        <v>35</v>
      </c>
      <c r="B38"/>
      <c r="C38"/>
      <c r="D38" s="143"/>
      <c r="E38" s="143"/>
      <c r="F38" s="143"/>
      <c r="G38" s="143"/>
      <c r="H38" s="242"/>
      <c r="I38" s="143"/>
      <c r="J38" s="143"/>
      <c r="K38" s="243"/>
      <c r="L38" s="243"/>
      <c r="M38" s="244"/>
      <c r="N38" s="143"/>
      <c r="O38" s="143"/>
      <c r="P38" s="143"/>
      <c r="Q38" s="143"/>
      <c r="R38" s="143"/>
      <c r="S38" s="244"/>
      <c r="T38" s="143"/>
      <c r="U38" s="143"/>
      <c r="V38" s="143"/>
      <c r="W38" s="143"/>
      <c r="X38" s="244"/>
      <c r="Y38" s="143"/>
      <c r="Z38" s="143"/>
      <c r="AA38" s="143"/>
      <c r="AB38" s="143"/>
      <c r="AC38" s="143"/>
      <c r="AD38" s="244"/>
      <c r="AE38" s="143"/>
      <c r="AF38" s="143"/>
      <c r="AG38" s="143"/>
      <c r="AH38" s="143"/>
      <c r="AI38" s="242"/>
      <c r="AJ38" s="143"/>
      <c r="AK38" s="143"/>
      <c r="AL38" s="143"/>
      <c r="AM38" s="143"/>
      <c r="AN38" s="244"/>
      <c r="AO38" s="143"/>
      <c r="AP38" s="143"/>
      <c r="AQ38" s="143"/>
      <c r="AR38" s="143"/>
      <c r="AS38" s="143"/>
      <c r="AT38" s="244"/>
      <c r="AU38" s="143"/>
      <c r="AV38" s="143"/>
      <c r="AW38" s="143"/>
      <c r="AX38" s="143"/>
      <c r="AY38" s="244"/>
      <c r="AZ38" s="143"/>
      <c r="BA38" s="143"/>
      <c r="BB38" s="143"/>
      <c r="BC38" s="143"/>
      <c r="BD38" s="244"/>
      <c r="BE38" s="143"/>
      <c r="BF38" s="143"/>
      <c r="BG38" s="143"/>
      <c r="BH38" s="143"/>
      <c r="BI38" s="143"/>
      <c r="BJ38" s="244"/>
      <c r="BK38" s="143"/>
      <c r="BL38" s="143"/>
      <c r="BM38" s="143"/>
      <c r="BN38" s="143"/>
      <c r="BO38" s="242"/>
      <c r="BP38" s="143">
        <f t="shared" si="9"/>
        <v>0</v>
      </c>
      <c r="BQ38" s="143">
        <f t="shared" si="10"/>
        <v>0</v>
      </c>
      <c r="BR38" s="275">
        <f t="shared" si="11"/>
        <v>0</v>
      </c>
      <c r="BS38" s="246">
        <f t="shared" si="4"/>
        <v>35</v>
      </c>
      <c r="BT38" s="247">
        <f t="shared" si="5"/>
        <v>0</v>
      </c>
      <c r="BU38" s="247">
        <f t="shared" si="8"/>
        <v>0</v>
      </c>
    </row>
    <row r="39" spans="1:73" s="166" customFormat="1" ht="13.5">
      <c r="A39" s="246">
        <v>36</v>
      </c>
      <c r="B39"/>
      <c r="C39"/>
      <c r="D39" s="143"/>
      <c r="E39" s="143"/>
      <c r="F39" s="143"/>
      <c r="G39" s="143"/>
      <c r="H39" s="242"/>
      <c r="I39" s="143"/>
      <c r="J39" s="143"/>
      <c r="K39" s="243"/>
      <c r="L39" s="243"/>
      <c r="M39" s="244"/>
      <c r="N39" s="143"/>
      <c r="O39" s="143"/>
      <c r="P39" s="143"/>
      <c r="Q39" s="143"/>
      <c r="R39" s="143"/>
      <c r="S39" s="244"/>
      <c r="T39" s="143"/>
      <c r="U39" s="143"/>
      <c r="V39" s="143"/>
      <c r="W39" s="143"/>
      <c r="X39" s="244"/>
      <c r="Y39" s="143"/>
      <c r="Z39" s="143"/>
      <c r="AA39" s="143"/>
      <c r="AB39" s="143"/>
      <c r="AC39" s="143"/>
      <c r="AD39" s="244"/>
      <c r="AE39" s="143"/>
      <c r="AF39" s="143"/>
      <c r="AG39" s="143"/>
      <c r="AH39" s="143"/>
      <c r="AI39" s="242"/>
      <c r="AJ39" s="143"/>
      <c r="AK39" s="143"/>
      <c r="AL39" s="143"/>
      <c r="AM39" s="143"/>
      <c r="AN39" s="244"/>
      <c r="AO39" s="143"/>
      <c r="AP39" s="143"/>
      <c r="AQ39" s="143"/>
      <c r="AR39" s="143"/>
      <c r="AS39" s="143"/>
      <c r="AT39" s="244"/>
      <c r="AU39" s="143"/>
      <c r="AV39" s="143"/>
      <c r="AW39" s="143"/>
      <c r="AX39" s="143"/>
      <c r="AY39" s="244"/>
      <c r="AZ39" s="143"/>
      <c r="BA39" s="143"/>
      <c r="BB39" s="143"/>
      <c r="BC39" s="143"/>
      <c r="BD39" s="244"/>
      <c r="BE39" s="143"/>
      <c r="BF39" s="143"/>
      <c r="BG39" s="143"/>
      <c r="BH39" s="143"/>
      <c r="BI39" s="143"/>
      <c r="BJ39" s="244"/>
      <c r="BK39" s="143"/>
      <c r="BL39" s="143"/>
      <c r="BM39" s="143"/>
      <c r="BN39" s="143"/>
      <c r="BO39" s="242"/>
      <c r="BP39" s="143">
        <f t="shared" si="9"/>
        <v>0</v>
      </c>
      <c r="BQ39" s="143">
        <f t="shared" si="10"/>
        <v>0</v>
      </c>
      <c r="BR39" s="275">
        <f t="shared" si="11"/>
        <v>0</v>
      </c>
      <c r="BS39" s="246">
        <f aca="true" t="shared" si="12" ref="BS39:BS70">A39</f>
        <v>36</v>
      </c>
      <c r="BT39" s="247">
        <f aca="true" t="shared" si="13" ref="BT39:BT70">B39</f>
        <v>0</v>
      </c>
      <c r="BU39" s="247">
        <f t="shared" si="8"/>
        <v>0</v>
      </c>
    </row>
    <row r="40" spans="1:73" s="166" customFormat="1" ht="13.5">
      <c r="A40" s="246">
        <v>37</v>
      </c>
      <c r="B40"/>
      <c r="C40"/>
      <c r="D40" s="143"/>
      <c r="E40" s="143"/>
      <c r="F40" s="143"/>
      <c r="G40" s="143"/>
      <c r="H40" s="242"/>
      <c r="I40" s="143"/>
      <c r="J40" s="143"/>
      <c r="K40" s="243"/>
      <c r="L40" s="243"/>
      <c r="M40" s="244"/>
      <c r="N40" s="143"/>
      <c r="O40" s="143"/>
      <c r="P40" s="143"/>
      <c r="Q40" s="143"/>
      <c r="R40" s="143"/>
      <c r="S40" s="244"/>
      <c r="T40" s="143"/>
      <c r="U40" s="143"/>
      <c r="V40" s="143"/>
      <c r="W40" s="143"/>
      <c r="X40" s="244"/>
      <c r="Y40" s="143"/>
      <c r="Z40" s="143"/>
      <c r="AA40" s="143"/>
      <c r="AB40" s="143"/>
      <c r="AC40" s="143"/>
      <c r="AD40" s="244"/>
      <c r="AE40" s="143"/>
      <c r="AF40" s="143"/>
      <c r="AG40" s="143"/>
      <c r="AH40" s="143"/>
      <c r="AI40" s="242"/>
      <c r="AJ40" s="143"/>
      <c r="AK40" s="143"/>
      <c r="AL40" s="143"/>
      <c r="AM40" s="143"/>
      <c r="AN40" s="244"/>
      <c r="AO40" s="143"/>
      <c r="AP40" s="143"/>
      <c r="AQ40" s="143"/>
      <c r="AR40" s="143"/>
      <c r="AS40" s="143"/>
      <c r="AT40" s="244"/>
      <c r="AU40" s="143"/>
      <c r="AV40" s="143"/>
      <c r="AW40" s="143"/>
      <c r="AX40" s="143"/>
      <c r="AY40" s="244"/>
      <c r="AZ40" s="143"/>
      <c r="BA40" s="143"/>
      <c r="BB40" s="143"/>
      <c r="BC40" s="143"/>
      <c r="BD40" s="244"/>
      <c r="BE40" s="143"/>
      <c r="BF40" s="143"/>
      <c r="BG40" s="143"/>
      <c r="BH40" s="143"/>
      <c r="BI40" s="143"/>
      <c r="BJ40" s="244"/>
      <c r="BK40" s="143"/>
      <c r="BL40" s="143"/>
      <c r="BM40" s="143"/>
      <c r="BN40" s="143"/>
      <c r="BO40" s="242"/>
      <c r="BP40" s="143">
        <f t="shared" si="9"/>
        <v>0</v>
      </c>
      <c r="BQ40" s="143">
        <f t="shared" si="10"/>
        <v>0</v>
      </c>
      <c r="BR40" s="275">
        <f t="shared" si="11"/>
        <v>0</v>
      </c>
      <c r="BS40" s="246">
        <f t="shared" si="12"/>
        <v>37</v>
      </c>
      <c r="BT40" s="247">
        <f t="shared" si="13"/>
        <v>0</v>
      </c>
      <c r="BU40" s="247">
        <f t="shared" si="8"/>
        <v>0</v>
      </c>
    </row>
    <row r="41" spans="1:73" s="166" customFormat="1" ht="13.5">
      <c r="A41" s="246">
        <v>38</v>
      </c>
      <c r="B41"/>
      <c r="C41"/>
      <c r="D41" s="143"/>
      <c r="E41" s="143"/>
      <c r="F41" s="143"/>
      <c r="G41" s="143"/>
      <c r="H41" s="242"/>
      <c r="I41" s="143"/>
      <c r="J41" s="143"/>
      <c r="K41" s="243"/>
      <c r="L41" s="243"/>
      <c r="M41" s="244"/>
      <c r="N41" s="143"/>
      <c r="O41" s="143"/>
      <c r="P41" s="143"/>
      <c r="Q41" s="143"/>
      <c r="R41" s="143"/>
      <c r="S41" s="244"/>
      <c r="T41" s="143"/>
      <c r="U41" s="143"/>
      <c r="V41" s="143"/>
      <c r="W41" s="143"/>
      <c r="X41" s="244"/>
      <c r="Y41" s="143"/>
      <c r="Z41" s="143"/>
      <c r="AA41" s="143"/>
      <c r="AB41" s="143"/>
      <c r="AC41" s="143"/>
      <c r="AD41" s="244"/>
      <c r="AE41" s="143"/>
      <c r="AF41" s="143"/>
      <c r="AG41" s="143"/>
      <c r="AH41" s="143"/>
      <c r="AI41" s="242"/>
      <c r="AJ41" s="143"/>
      <c r="AK41" s="143"/>
      <c r="AL41" s="143"/>
      <c r="AM41" s="143"/>
      <c r="AN41" s="244"/>
      <c r="AO41" s="143"/>
      <c r="AP41" s="143"/>
      <c r="AQ41" s="143"/>
      <c r="AR41" s="143"/>
      <c r="AS41" s="143"/>
      <c r="AT41" s="244"/>
      <c r="AU41" s="143"/>
      <c r="AV41" s="143"/>
      <c r="AW41" s="143"/>
      <c r="AX41" s="143"/>
      <c r="AY41" s="244"/>
      <c r="AZ41" s="143"/>
      <c r="BA41" s="143"/>
      <c r="BB41" s="143"/>
      <c r="BC41" s="143"/>
      <c r="BD41" s="244"/>
      <c r="BE41" s="143"/>
      <c r="BF41" s="143"/>
      <c r="BG41" s="143"/>
      <c r="BH41" s="143"/>
      <c r="BI41" s="143"/>
      <c r="BJ41" s="244"/>
      <c r="BK41" s="143"/>
      <c r="BL41" s="143"/>
      <c r="BM41" s="143"/>
      <c r="BN41" s="143"/>
      <c r="BO41" s="242"/>
      <c r="BP41" s="143">
        <f t="shared" si="9"/>
        <v>0</v>
      </c>
      <c r="BQ41" s="143">
        <f t="shared" si="10"/>
        <v>0</v>
      </c>
      <c r="BR41" s="275">
        <f t="shared" si="11"/>
        <v>0</v>
      </c>
      <c r="BS41" s="246">
        <f t="shared" si="12"/>
        <v>38</v>
      </c>
      <c r="BT41" s="247">
        <f t="shared" si="13"/>
        <v>0</v>
      </c>
      <c r="BU41" s="247"/>
    </row>
    <row r="42" spans="1:73" s="166" customFormat="1" ht="13.5">
      <c r="A42" s="246">
        <v>39</v>
      </c>
      <c r="B42"/>
      <c r="C42"/>
      <c r="D42" s="143"/>
      <c r="E42" s="143"/>
      <c r="F42" s="143"/>
      <c r="G42" s="143"/>
      <c r="H42" s="242"/>
      <c r="I42" s="143"/>
      <c r="J42" s="143"/>
      <c r="K42" s="243"/>
      <c r="L42" s="243"/>
      <c r="M42" s="244"/>
      <c r="N42" s="143"/>
      <c r="O42" s="143"/>
      <c r="P42" s="143"/>
      <c r="Q42" s="143"/>
      <c r="R42" s="143"/>
      <c r="S42" s="244"/>
      <c r="T42" s="143"/>
      <c r="U42" s="143"/>
      <c r="V42" s="143"/>
      <c r="W42" s="143"/>
      <c r="X42" s="244"/>
      <c r="Y42" s="143"/>
      <c r="Z42" s="143"/>
      <c r="AA42" s="143"/>
      <c r="AB42" s="143"/>
      <c r="AC42" s="143"/>
      <c r="AD42" s="244"/>
      <c r="AE42" s="143"/>
      <c r="AF42" s="143"/>
      <c r="AG42" s="143"/>
      <c r="AH42" s="143"/>
      <c r="AI42" s="242"/>
      <c r="AJ42" s="143"/>
      <c r="AK42" s="143"/>
      <c r="AL42" s="143"/>
      <c r="AM42" s="143"/>
      <c r="AN42" s="244"/>
      <c r="AO42" s="143"/>
      <c r="AP42" s="143"/>
      <c r="AQ42" s="143"/>
      <c r="AR42" s="143"/>
      <c r="AS42" s="143"/>
      <c r="AT42" s="244"/>
      <c r="AU42" s="143"/>
      <c r="AV42" s="143"/>
      <c r="AW42" s="143"/>
      <c r="AX42" s="143"/>
      <c r="AY42" s="244"/>
      <c r="AZ42" s="143"/>
      <c r="BA42" s="143"/>
      <c r="BB42" s="143"/>
      <c r="BC42" s="143"/>
      <c r="BD42" s="244"/>
      <c r="BE42" s="143"/>
      <c r="BF42" s="143"/>
      <c r="BG42" s="143"/>
      <c r="BH42" s="143"/>
      <c r="BI42" s="143"/>
      <c r="BJ42" s="244"/>
      <c r="BK42" s="143"/>
      <c r="BL42" s="143"/>
      <c r="BM42" s="143"/>
      <c r="BN42" s="143"/>
      <c r="BO42" s="242"/>
      <c r="BP42" s="143">
        <f t="shared" si="9"/>
        <v>0</v>
      </c>
      <c r="BQ42" s="143">
        <f t="shared" si="10"/>
        <v>0</v>
      </c>
      <c r="BR42" s="275">
        <f t="shared" si="11"/>
        <v>0</v>
      </c>
      <c r="BS42" s="246">
        <f t="shared" si="12"/>
        <v>39</v>
      </c>
      <c r="BT42" s="247">
        <f t="shared" si="13"/>
        <v>0</v>
      </c>
      <c r="BU42" s="247"/>
    </row>
    <row r="43" spans="1:73" s="166" customFormat="1" ht="13.5">
      <c r="A43" s="246">
        <v>40</v>
      </c>
      <c r="B43"/>
      <c r="C43"/>
      <c r="D43" s="143"/>
      <c r="E43" s="143"/>
      <c r="F43" s="143"/>
      <c r="G43" s="143"/>
      <c r="H43" s="242"/>
      <c r="I43" s="143"/>
      <c r="J43" s="143"/>
      <c r="K43" s="243"/>
      <c r="L43" s="243"/>
      <c r="M43" s="244"/>
      <c r="N43" s="143"/>
      <c r="O43" s="143"/>
      <c r="P43" s="143"/>
      <c r="Q43" s="143"/>
      <c r="R43" s="143"/>
      <c r="S43" s="244"/>
      <c r="T43" s="143"/>
      <c r="U43" s="143"/>
      <c r="V43" s="143"/>
      <c r="W43" s="143"/>
      <c r="X43" s="244"/>
      <c r="Y43" s="143"/>
      <c r="Z43" s="143"/>
      <c r="AA43" s="143"/>
      <c r="AB43" s="143"/>
      <c r="AC43" s="143"/>
      <c r="AD43" s="244"/>
      <c r="AE43" s="143"/>
      <c r="AF43" s="143"/>
      <c r="AG43" s="143"/>
      <c r="AH43" s="143"/>
      <c r="AI43" s="242"/>
      <c r="AJ43" s="143"/>
      <c r="AK43" s="143"/>
      <c r="AL43" s="143"/>
      <c r="AM43" s="143"/>
      <c r="AN43" s="244"/>
      <c r="AO43" s="143"/>
      <c r="AP43" s="143"/>
      <c r="AQ43" s="143"/>
      <c r="AR43" s="143"/>
      <c r="AS43" s="143"/>
      <c r="AT43" s="244"/>
      <c r="AU43" s="143"/>
      <c r="AV43" s="143"/>
      <c r="AW43" s="143"/>
      <c r="AX43" s="143"/>
      <c r="AY43" s="244"/>
      <c r="AZ43" s="143"/>
      <c r="BA43" s="143"/>
      <c r="BB43" s="143"/>
      <c r="BC43" s="143"/>
      <c r="BD43" s="244"/>
      <c r="BE43" s="143"/>
      <c r="BF43" s="143"/>
      <c r="BG43" s="143"/>
      <c r="BH43" s="143"/>
      <c r="BI43" s="143"/>
      <c r="BJ43" s="244"/>
      <c r="BK43" s="143"/>
      <c r="BL43" s="143"/>
      <c r="BM43" s="143"/>
      <c r="BN43" s="143"/>
      <c r="BO43" s="242"/>
      <c r="BP43" s="143">
        <f t="shared" si="9"/>
        <v>0</v>
      </c>
      <c r="BQ43" s="143">
        <f t="shared" si="10"/>
        <v>0</v>
      </c>
      <c r="BR43" s="275">
        <f t="shared" si="11"/>
        <v>0</v>
      </c>
      <c r="BS43" s="246">
        <f t="shared" si="12"/>
        <v>40</v>
      </c>
      <c r="BT43" s="247">
        <f t="shared" si="13"/>
        <v>0</v>
      </c>
      <c r="BU43" s="247">
        <f aca="true" t="shared" si="14" ref="BU43:BU54">C43</f>
        <v>0</v>
      </c>
    </row>
    <row r="44" spans="1:73" s="166" customFormat="1" ht="13.5">
      <c r="A44" s="246">
        <v>41</v>
      </c>
      <c r="B44"/>
      <c r="C44"/>
      <c r="D44" s="143"/>
      <c r="E44" s="143"/>
      <c r="F44" s="143"/>
      <c r="G44" s="143"/>
      <c r="H44" s="242"/>
      <c r="I44" s="143"/>
      <c r="J44" s="143"/>
      <c r="K44" s="243"/>
      <c r="L44" s="243"/>
      <c r="M44" s="244"/>
      <c r="N44" s="143"/>
      <c r="O44" s="143"/>
      <c r="P44" s="143"/>
      <c r="Q44" s="143"/>
      <c r="R44" s="143"/>
      <c r="S44" s="244"/>
      <c r="T44" s="143"/>
      <c r="U44" s="143"/>
      <c r="V44" s="143"/>
      <c r="W44" s="143"/>
      <c r="X44" s="244"/>
      <c r="Y44" s="143"/>
      <c r="Z44" s="143"/>
      <c r="AA44" s="143"/>
      <c r="AB44" s="143"/>
      <c r="AC44" s="143"/>
      <c r="AD44" s="244"/>
      <c r="AE44" s="143"/>
      <c r="AF44" s="143"/>
      <c r="AG44" s="143"/>
      <c r="AH44" s="143"/>
      <c r="AI44" s="242"/>
      <c r="AJ44" s="143"/>
      <c r="AK44" s="143"/>
      <c r="AL44" s="143"/>
      <c r="AM44" s="143"/>
      <c r="AN44" s="244"/>
      <c r="AO44" s="143"/>
      <c r="AP44" s="143"/>
      <c r="AQ44" s="143"/>
      <c r="AR44" s="143"/>
      <c r="AS44" s="143"/>
      <c r="AT44" s="244"/>
      <c r="AU44" s="143"/>
      <c r="AV44" s="143"/>
      <c r="AW44" s="143"/>
      <c r="AX44" s="143"/>
      <c r="AY44" s="244"/>
      <c r="AZ44" s="143"/>
      <c r="BA44" s="143"/>
      <c r="BB44" s="143"/>
      <c r="BC44" s="143"/>
      <c r="BD44" s="244"/>
      <c r="BE44" s="143"/>
      <c r="BF44" s="143"/>
      <c r="BG44" s="143"/>
      <c r="BH44" s="143"/>
      <c r="BI44" s="143"/>
      <c r="BJ44" s="244"/>
      <c r="BK44" s="143"/>
      <c r="BL44" s="143"/>
      <c r="BM44" s="143"/>
      <c r="BN44" s="143"/>
      <c r="BO44" s="242"/>
      <c r="BP44" s="143">
        <f t="shared" si="9"/>
        <v>0</v>
      </c>
      <c r="BQ44" s="143">
        <f t="shared" si="10"/>
        <v>0</v>
      </c>
      <c r="BR44" s="275">
        <f t="shared" si="11"/>
        <v>0</v>
      </c>
      <c r="BS44" s="246">
        <f t="shared" si="12"/>
        <v>41</v>
      </c>
      <c r="BT44" s="247">
        <f t="shared" si="13"/>
        <v>0</v>
      </c>
      <c r="BU44" s="247">
        <f t="shared" si="14"/>
        <v>0</v>
      </c>
    </row>
    <row r="45" spans="1:73" s="166" customFormat="1" ht="13.5">
      <c r="A45" s="246">
        <v>42</v>
      </c>
      <c r="B45"/>
      <c r="C45"/>
      <c r="D45" s="143"/>
      <c r="E45" s="143"/>
      <c r="F45" s="143"/>
      <c r="G45" s="143"/>
      <c r="H45" s="242"/>
      <c r="I45" s="143"/>
      <c r="J45" s="143"/>
      <c r="K45" s="243"/>
      <c r="L45" s="243"/>
      <c r="M45" s="244"/>
      <c r="N45" s="143"/>
      <c r="O45" s="143"/>
      <c r="P45" s="143"/>
      <c r="Q45" s="143"/>
      <c r="R45" s="143"/>
      <c r="S45" s="244"/>
      <c r="T45" s="143"/>
      <c r="U45" s="143"/>
      <c r="V45" s="143"/>
      <c r="W45" s="143"/>
      <c r="X45" s="244"/>
      <c r="Y45" s="143"/>
      <c r="Z45" s="143"/>
      <c r="AA45" s="143"/>
      <c r="AB45" s="143"/>
      <c r="AC45" s="143"/>
      <c r="AD45" s="244"/>
      <c r="AE45" s="143"/>
      <c r="AF45" s="143"/>
      <c r="AG45" s="143"/>
      <c r="AH45" s="143"/>
      <c r="AI45" s="242"/>
      <c r="AJ45" s="143"/>
      <c r="AK45" s="143"/>
      <c r="AL45" s="143"/>
      <c r="AM45" s="143"/>
      <c r="AN45" s="244"/>
      <c r="AO45" s="143"/>
      <c r="AP45" s="143"/>
      <c r="AQ45" s="143"/>
      <c r="AR45" s="143"/>
      <c r="AS45" s="143"/>
      <c r="AT45" s="244"/>
      <c r="AU45" s="143"/>
      <c r="AV45" s="143"/>
      <c r="AW45" s="143"/>
      <c r="AX45" s="143"/>
      <c r="AY45" s="244"/>
      <c r="AZ45" s="143"/>
      <c r="BA45" s="143"/>
      <c r="BB45" s="143"/>
      <c r="BC45" s="143"/>
      <c r="BD45" s="244"/>
      <c r="BE45" s="143"/>
      <c r="BF45" s="143"/>
      <c r="BG45" s="143"/>
      <c r="BH45" s="143"/>
      <c r="BI45" s="143"/>
      <c r="BJ45" s="244"/>
      <c r="BK45" s="143"/>
      <c r="BL45" s="143"/>
      <c r="BM45" s="143"/>
      <c r="BN45" s="143"/>
      <c r="BO45" s="242"/>
      <c r="BP45" s="143">
        <f t="shared" si="9"/>
        <v>0</v>
      </c>
      <c r="BQ45" s="143">
        <f t="shared" si="10"/>
        <v>0</v>
      </c>
      <c r="BR45" s="275">
        <f t="shared" si="11"/>
        <v>0</v>
      </c>
      <c r="BS45" s="246">
        <f t="shared" si="12"/>
        <v>42</v>
      </c>
      <c r="BT45" s="247">
        <f t="shared" si="13"/>
        <v>0</v>
      </c>
      <c r="BU45" s="247">
        <f t="shared" si="14"/>
        <v>0</v>
      </c>
    </row>
    <row r="46" spans="1:73" s="166" customFormat="1" ht="13.5">
      <c r="A46" s="246">
        <v>43</v>
      </c>
      <c r="B46"/>
      <c r="C46"/>
      <c r="D46" s="143"/>
      <c r="E46" s="143"/>
      <c r="F46" s="143"/>
      <c r="G46" s="143"/>
      <c r="H46" s="242"/>
      <c r="I46" s="143"/>
      <c r="J46" s="143"/>
      <c r="K46" s="243"/>
      <c r="L46" s="243"/>
      <c r="M46" s="244"/>
      <c r="N46" s="143"/>
      <c r="O46" s="143"/>
      <c r="P46" s="143"/>
      <c r="Q46" s="143"/>
      <c r="R46" s="143"/>
      <c r="S46" s="244"/>
      <c r="T46" s="143"/>
      <c r="U46" s="143"/>
      <c r="V46" s="143"/>
      <c r="W46" s="143"/>
      <c r="X46" s="244"/>
      <c r="Y46" s="143"/>
      <c r="Z46" s="143"/>
      <c r="AA46" s="143"/>
      <c r="AB46" s="143"/>
      <c r="AC46" s="143"/>
      <c r="AD46" s="244"/>
      <c r="AE46" s="143"/>
      <c r="AF46" s="143"/>
      <c r="AG46" s="143"/>
      <c r="AH46" s="143"/>
      <c r="AI46" s="242"/>
      <c r="AJ46" s="143"/>
      <c r="AK46" s="143"/>
      <c r="AL46" s="143"/>
      <c r="AM46" s="143"/>
      <c r="AN46" s="244"/>
      <c r="AO46" s="143"/>
      <c r="AP46" s="143"/>
      <c r="AQ46" s="143"/>
      <c r="AR46" s="143"/>
      <c r="AS46" s="143"/>
      <c r="AT46" s="244"/>
      <c r="AU46" s="143"/>
      <c r="AV46" s="143"/>
      <c r="AW46" s="143"/>
      <c r="AX46" s="143"/>
      <c r="AY46" s="244"/>
      <c r="AZ46" s="143"/>
      <c r="BA46" s="143"/>
      <c r="BB46" s="143"/>
      <c r="BC46" s="143"/>
      <c r="BD46" s="244"/>
      <c r="BE46" s="143"/>
      <c r="BF46" s="143"/>
      <c r="BG46" s="143"/>
      <c r="BH46" s="143"/>
      <c r="BI46" s="143"/>
      <c r="BJ46" s="244"/>
      <c r="BK46" s="143"/>
      <c r="BL46" s="143"/>
      <c r="BM46" s="143"/>
      <c r="BN46" s="143"/>
      <c r="BO46" s="242"/>
      <c r="BP46" s="143">
        <f t="shared" si="9"/>
        <v>0</v>
      </c>
      <c r="BQ46" s="143">
        <f t="shared" si="10"/>
        <v>0</v>
      </c>
      <c r="BR46" s="275">
        <f t="shared" si="11"/>
        <v>0</v>
      </c>
      <c r="BS46" s="246">
        <f t="shared" si="12"/>
        <v>43</v>
      </c>
      <c r="BT46" s="247">
        <f t="shared" si="13"/>
        <v>0</v>
      </c>
      <c r="BU46" s="247">
        <f t="shared" si="14"/>
        <v>0</v>
      </c>
    </row>
    <row r="47" spans="1:73" s="166" customFormat="1" ht="13.5">
      <c r="A47" s="246">
        <v>44</v>
      </c>
      <c r="B47"/>
      <c r="C47"/>
      <c r="D47" s="143"/>
      <c r="E47" s="143"/>
      <c r="F47" s="143"/>
      <c r="G47" s="143"/>
      <c r="H47" s="242"/>
      <c r="I47" s="143"/>
      <c r="J47" s="143"/>
      <c r="K47" s="243"/>
      <c r="L47" s="243"/>
      <c r="M47" s="244"/>
      <c r="N47" s="143"/>
      <c r="O47" s="143"/>
      <c r="P47" s="143"/>
      <c r="Q47" s="143"/>
      <c r="R47" s="143"/>
      <c r="S47" s="244"/>
      <c r="T47" s="143"/>
      <c r="U47" s="143"/>
      <c r="V47" s="143"/>
      <c r="W47" s="143"/>
      <c r="X47" s="244"/>
      <c r="Y47" s="143"/>
      <c r="Z47" s="143"/>
      <c r="AA47" s="143"/>
      <c r="AB47" s="143"/>
      <c r="AC47" s="143"/>
      <c r="AD47" s="244"/>
      <c r="AE47" s="143"/>
      <c r="AF47" s="143"/>
      <c r="AG47" s="143"/>
      <c r="AH47" s="143"/>
      <c r="AI47" s="242"/>
      <c r="AJ47" s="143"/>
      <c r="AK47" s="143"/>
      <c r="AL47" s="143"/>
      <c r="AM47" s="143"/>
      <c r="AN47" s="244"/>
      <c r="AO47" s="143"/>
      <c r="AP47" s="143"/>
      <c r="AQ47" s="143"/>
      <c r="AR47" s="143"/>
      <c r="AS47" s="143"/>
      <c r="AT47" s="244"/>
      <c r="AU47" s="143"/>
      <c r="AV47" s="143"/>
      <c r="AW47" s="143"/>
      <c r="AX47" s="143"/>
      <c r="AY47" s="244"/>
      <c r="AZ47" s="143"/>
      <c r="BA47" s="143"/>
      <c r="BB47" s="143"/>
      <c r="BC47" s="143"/>
      <c r="BD47" s="244"/>
      <c r="BE47" s="143"/>
      <c r="BF47" s="143"/>
      <c r="BG47" s="143"/>
      <c r="BH47" s="143"/>
      <c r="BI47" s="143"/>
      <c r="BJ47" s="244"/>
      <c r="BK47" s="143"/>
      <c r="BL47" s="143"/>
      <c r="BM47" s="143"/>
      <c r="BN47" s="143"/>
      <c r="BO47" s="242"/>
      <c r="BP47" s="143">
        <f t="shared" si="9"/>
        <v>0</v>
      </c>
      <c r="BQ47" s="143">
        <f t="shared" si="10"/>
        <v>0</v>
      </c>
      <c r="BR47" s="275">
        <f t="shared" si="11"/>
        <v>0</v>
      </c>
      <c r="BS47" s="246">
        <f t="shared" si="12"/>
        <v>44</v>
      </c>
      <c r="BT47" s="247">
        <f t="shared" si="13"/>
        <v>0</v>
      </c>
      <c r="BU47" s="247">
        <f t="shared" si="14"/>
        <v>0</v>
      </c>
    </row>
    <row r="48" spans="1:73" s="166" customFormat="1" ht="13.5">
      <c r="A48" s="246">
        <v>45</v>
      </c>
      <c r="B48"/>
      <c r="C48"/>
      <c r="D48" s="143"/>
      <c r="E48" s="143"/>
      <c r="F48" s="143"/>
      <c r="G48" s="143"/>
      <c r="H48" s="242"/>
      <c r="I48" s="143"/>
      <c r="J48" s="143"/>
      <c r="K48" s="243"/>
      <c r="L48" s="243"/>
      <c r="M48" s="244"/>
      <c r="N48" s="143"/>
      <c r="O48" s="143"/>
      <c r="P48" s="143"/>
      <c r="Q48" s="143"/>
      <c r="R48" s="143"/>
      <c r="S48" s="244"/>
      <c r="T48" s="143"/>
      <c r="U48" s="143"/>
      <c r="V48" s="143"/>
      <c r="W48" s="143"/>
      <c r="X48" s="244"/>
      <c r="Y48" s="143"/>
      <c r="Z48" s="143"/>
      <c r="AA48" s="143"/>
      <c r="AB48" s="143"/>
      <c r="AC48" s="143"/>
      <c r="AD48" s="244"/>
      <c r="AE48" s="143"/>
      <c r="AF48" s="143"/>
      <c r="AG48" s="143"/>
      <c r="AH48" s="143"/>
      <c r="AI48" s="242"/>
      <c r="AJ48" s="143"/>
      <c r="AK48" s="143"/>
      <c r="AL48" s="143"/>
      <c r="AM48" s="143"/>
      <c r="AN48" s="244"/>
      <c r="AO48" s="143"/>
      <c r="AP48" s="143"/>
      <c r="AQ48" s="143"/>
      <c r="AR48" s="143"/>
      <c r="AS48" s="143"/>
      <c r="AT48" s="244"/>
      <c r="AU48" s="143"/>
      <c r="AV48" s="143"/>
      <c r="AW48" s="143"/>
      <c r="AX48" s="143"/>
      <c r="AY48" s="244"/>
      <c r="AZ48" s="143"/>
      <c r="BA48" s="143"/>
      <c r="BB48" s="143"/>
      <c r="BC48" s="143"/>
      <c r="BD48" s="244"/>
      <c r="BE48" s="143"/>
      <c r="BF48" s="143"/>
      <c r="BG48" s="143"/>
      <c r="BH48" s="143"/>
      <c r="BI48" s="143"/>
      <c r="BJ48" s="244"/>
      <c r="BK48" s="143"/>
      <c r="BL48" s="143"/>
      <c r="BM48" s="143"/>
      <c r="BN48" s="143"/>
      <c r="BO48" s="242"/>
      <c r="BP48" s="143">
        <f t="shared" si="9"/>
        <v>0</v>
      </c>
      <c r="BQ48" s="143">
        <f t="shared" si="10"/>
        <v>0</v>
      </c>
      <c r="BR48" s="275">
        <f t="shared" si="11"/>
        <v>0</v>
      </c>
      <c r="BS48" s="246">
        <f t="shared" si="12"/>
        <v>45</v>
      </c>
      <c r="BT48" s="247">
        <f t="shared" si="13"/>
        <v>0</v>
      </c>
      <c r="BU48" s="247">
        <f t="shared" si="14"/>
        <v>0</v>
      </c>
    </row>
    <row r="49" spans="1:73" s="166" customFormat="1" ht="13.5">
      <c r="A49" s="246">
        <v>46</v>
      </c>
      <c r="B49"/>
      <c r="C49"/>
      <c r="D49" s="143"/>
      <c r="E49" s="143"/>
      <c r="F49" s="143"/>
      <c r="G49" s="143"/>
      <c r="H49" s="242"/>
      <c r="I49" s="143"/>
      <c r="J49" s="143"/>
      <c r="K49" s="243"/>
      <c r="L49" s="243"/>
      <c r="M49" s="244"/>
      <c r="N49" s="143"/>
      <c r="O49" s="143"/>
      <c r="P49" s="143"/>
      <c r="Q49" s="143"/>
      <c r="R49" s="143"/>
      <c r="S49" s="244"/>
      <c r="T49" s="143"/>
      <c r="U49" s="143"/>
      <c r="V49" s="143"/>
      <c r="W49" s="143"/>
      <c r="X49" s="244"/>
      <c r="Y49" s="143"/>
      <c r="Z49" s="143"/>
      <c r="AA49" s="143"/>
      <c r="AB49" s="143"/>
      <c r="AC49" s="143"/>
      <c r="AD49" s="244"/>
      <c r="AE49" s="143"/>
      <c r="AF49" s="143"/>
      <c r="AG49" s="143"/>
      <c r="AH49" s="143"/>
      <c r="AI49" s="242"/>
      <c r="AJ49" s="143"/>
      <c r="AK49" s="143"/>
      <c r="AL49" s="143"/>
      <c r="AM49" s="143"/>
      <c r="AN49" s="244"/>
      <c r="AO49" s="143"/>
      <c r="AP49" s="143"/>
      <c r="AQ49" s="143"/>
      <c r="AR49" s="143"/>
      <c r="AS49" s="143"/>
      <c r="AT49" s="244"/>
      <c r="AU49" s="143"/>
      <c r="AV49" s="143"/>
      <c r="AW49" s="143"/>
      <c r="AX49" s="143"/>
      <c r="AY49" s="244"/>
      <c r="AZ49" s="143"/>
      <c r="BA49" s="143"/>
      <c r="BB49" s="143"/>
      <c r="BC49" s="143"/>
      <c r="BD49" s="244"/>
      <c r="BE49" s="143"/>
      <c r="BF49" s="143"/>
      <c r="BG49" s="143"/>
      <c r="BH49" s="143"/>
      <c r="BI49" s="143"/>
      <c r="BJ49" s="244"/>
      <c r="BK49" s="143"/>
      <c r="BL49" s="143"/>
      <c r="BM49" s="143"/>
      <c r="BN49" s="143"/>
      <c r="BO49" s="242"/>
      <c r="BP49" s="143">
        <f t="shared" si="9"/>
        <v>0</v>
      </c>
      <c r="BQ49" s="143">
        <f t="shared" si="10"/>
        <v>0</v>
      </c>
      <c r="BR49" s="275">
        <f t="shared" si="11"/>
        <v>0</v>
      </c>
      <c r="BS49" s="246">
        <f t="shared" si="12"/>
        <v>46</v>
      </c>
      <c r="BT49" s="247">
        <f t="shared" si="13"/>
        <v>0</v>
      </c>
      <c r="BU49" s="247">
        <f t="shared" si="14"/>
        <v>0</v>
      </c>
    </row>
    <row r="50" spans="1:73" s="166" customFormat="1" ht="13.5">
      <c r="A50" s="246">
        <v>47</v>
      </c>
      <c r="B50"/>
      <c r="C50"/>
      <c r="D50" s="143"/>
      <c r="E50" s="143"/>
      <c r="F50" s="143"/>
      <c r="G50" s="143"/>
      <c r="H50" s="242"/>
      <c r="I50" s="143"/>
      <c r="J50" s="143"/>
      <c r="K50" s="243"/>
      <c r="L50" s="243"/>
      <c r="M50" s="244"/>
      <c r="N50" s="143"/>
      <c r="O50" s="143"/>
      <c r="P50" s="143"/>
      <c r="Q50" s="143"/>
      <c r="R50" s="143"/>
      <c r="S50" s="244"/>
      <c r="T50" s="143"/>
      <c r="U50" s="143"/>
      <c r="V50" s="143"/>
      <c r="W50" s="143"/>
      <c r="X50" s="244"/>
      <c r="Y50" s="143"/>
      <c r="Z50" s="143"/>
      <c r="AA50" s="143"/>
      <c r="AB50" s="143"/>
      <c r="AC50" s="143"/>
      <c r="AD50" s="244"/>
      <c r="AE50" s="143"/>
      <c r="AF50" s="143"/>
      <c r="AG50" s="143"/>
      <c r="AH50" s="143"/>
      <c r="AI50" s="242"/>
      <c r="AJ50" s="143"/>
      <c r="AK50" s="143"/>
      <c r="AL50" s="143"/>
      <c r="AM50" s="143"/>
      <c r="AN50" s="244"/>
      <c r="AO50" s="143"/>
      <c r="AP50" s="143"/>
      <c r="AQ50" s="143"/>
      <c r="AR50" s="143"/>
      <c r="AS50" s="143"/>
      <c r="AT50" s="244"/>
      <c r="AU50" s="143"/>
      <c r="AV50" s="143"/>
      <c r="AW50" s="143"/>
      <c r="AX50" s="143"/>
      <c r="AY50" s="244"/>
      <c r="AZ50" s="143"/>
      <c r="BA50" s="143"/>
      <c r="BB50" s="143"/>
      <c r="BC50" s="143"/>
      <c r="BD50" s="244"/>
      <c r="BE50" s="143"/>
      <c r="BF50" s="143"/>
      <c r="BG50" s="143"/>
      <c r="BH50" s="143"/>
      <c r="BI50" s="143"/>
      <c r="BJ50" s="244"/>
      <c r="BK50" s="143"/>
      <c r="BL50" s="143"/>
      <c r="BM50" s="143"/>
      <c r="BN50" s="143"/>
      <c r="BO50" s="242"/>
      <c r="BP50" s="143">
        <f t="shared" si="9"/>
        <v>0</v>
      </c>
      <c r="BQ50" s="143">
        <f t="shared" si="10"/>
        <v>0</v>
      </c>
      <c r="BR50" s="275">
        <f t="shared" si="11"/>
        <v>0</v>
      </c>
      <c r="BS50" s="246">
        <f t="shared" si="12"/>
        <v>47</v>
      </c>
      <c r="BT50" s="247">
        <f t="shared" si="13"/>
        <v>0</v>
      </c>
      <c r="BU50" s="247">
        <f t="shared" si="14"/>
        <v>0</v>
      </c>
    </row>
    <row r="51" spans="1:73" s="166" customFormat="1" ht="13.5">
      <c r="A51" s="246">
        <v>48</v>
      </c>
      <c r="B51"/>
      <c r="C51"/>
      <c r="D51" s="143"/>
      <c r="E51" s="143"/>
      <c r="F51" s="143"/>
      <c r="G51" s="143"/>
      <c r="H51" s="242"/>
      <c r="I51" s="143"/>
      <c r="J51" s="143"/>
      <c r="K51" s="243"/>
      <c r="L51" s="243"/>
      <c r="M51" s="244"/>
      <c r="N51" s="143"/>
      <c r="O51" s="143"/>
      <c r="P51" s="143"/>
      <c r="Q51" s="143"/>
      <c r="R51" s="143"/>
      <c r="S51" s="244"/>
      <c r="T51" s="143"/>
      <c r="U51" s="143"/>
      <c r="V51" s="143"/>
      <c r="W51" s="143"/>
      <c r="X51" s="244"/>
      <c r="Y51" s="143"/>
      <c r="Z51" s="143"/>
      <c r="AA51" s="143"/>
      <c r="AB51" s="143"/>
      <c r="AC51" s="143"/>
      <c r="AD51" s="244"/>
      <c r="AE51" s="143"/>
      <c r="AF51" s="143"/>
      <c r="AG51" s="143"/>
      <c r="AH51" s="143"/>
      <c r="AI51" s="242"/>
      <c r="AJ51" s="143"/>
      <c r="AK51" s="143"/>
      <c r="AL51" s="143"/>
      <c r="AM51" s="143"/>
      <c r="AN51" s="244"/>
      <c r="AO51" s="143"/>
      <c r="AP51" s="143"/>
      <c r="AQ51" s="143"/>
      <c r="AR51" s="143"/>
      <c r="AS51" s="143"/>
      <c r="AT51" s="244"/>
      <c r="AU51" s="143"/>
      <c r="AV51" s="143"/>
      <c r="AW51" s="143"/>
      <c r="AX51" s="143"/>
      <c r="AY51" s="244"/>
      <c r="AZ51" s="143"/>
      <c r="BA51" s="143"/>
      <c r="BB51" s="143"/>
      <c r="BC51" s="143"/>
      <c r="BD51" s="244"/>
      <c r="BE51" s="143"/>
      <c r="BF51" s="143"/>
      <c r="BG51" s="143"/>
      <c r="BH51" s="143"/>
      <c r="BI51" s="143"/>
      <c r="BJ51" s="244"/>
      <c r="BK51" s="143"/>
      <c r="BL51" s="143"/>
      <c r="BM51" s="143"/>
      <c r="BN51" s="143"/>
      <c r="BO51" s="242"/>
      <c r="BP51" s="143">
        <f t="shared" si="9"/>
        <v>0</v>
      </c>
      <c r="BQ51" s="143">
        <f t="shared" si="10"/>
        <v>0</v>
      </c>
      <c r="BR51" s="275">
        <f t="shared" si="11"/>
        <v>0</v>
      </c>
      <c r="BS51" s="246">
        <f t="shared" si="12"/>
        <v>48</v>
      </c>
      <c r="BT51" s="247">
        <f t="shared" si="13"/>
        <v>0</v>
      </c>
      <c r="BU51" s="247">
        <f t="shared" si="14"/>
        <v>0</v>
      </c>
    </row>
    <row r="52" spans="1:73" s="166" customFormat="1" ht="13.5">
      <c r="A52" s="246">
        <v>49</v>
      </c>
      <c r="B52"/>
      <c r="C52"/>
      <c r="D52" s="143"/>
      <c r="E52" s="143"/>
      <c r="F52" s="143"/>
      <c r="G52" s="143"/>
      <c r="H52" s="242"/>
      <c r="I52" s="143"/>
      <c r="J52" s="143"/>
      <c r="K52" s="243"/>
      <c r="L52" s="243"/>
      <c r="M52" s="244"/>
      <c r="N52" s="143"/>
      <c r="O52" s="143"/>
      <c r="P52" s="143"/>
      <c r="Q52" s="143"/>
      <c r="R52" s="143"/>
      <c r="S52" s="244"/>
      <c r="T52" s="143"/>
      <c r="U52" s="143"/>
      <c r="V52" s="143"/>
      <c r="W52" s="143"/>
      <c r="X52" s="244"/>
      <c r="Y52" s="143"/>
      <c r="Z52" s="143"/>
      <c r="AA52" s="143"/>
      <c r="AB52" s="143"/>
      <c r="AC52" s="143"/>
      <c r="AD52" s="244"/>
      <c r="AE52" s="143"/>
      <c r="AF52" s="143"/>
      <c r="AG52" s="143"/>
      <c r="AH52" s="143"/>
      <c r="AI52" s="242"/>
      <c r="AJ52" s="143"/>
      <c r="AK52" s="143"/>
      <c r="AL52" s="143"/>
      <c r="AM52" s="143"/>
      <c r="AN52" s="244"/>
      <c r="AO52" s="143"/>
      <c r="AP52" s="143"/>
      <c r="AQ52" s="143"/>
      <c r="AR52" s="143"/>
      <c r="AS52" s="143"/>
      <c r="AT52" s="244"/>
      <c r="AU52" s="143"/>
      <c r="AV52" s="143"/>
      <c r="AW52" s="143"/>
      <c r="AX52" s="143"/>
      <c r="AY52" s="244"/>
      <c r="AZ52" s="143"/>
      <c r="BA52" s="143"/>
      <c r="BB52" s="143"/>
      <c r="BC52" s="143"/>
      <c r="BD52" s="244"/>
      <c r="BE52" s="143"/>
      <c r="BF52" s="143"/>
      <c r="BG52" s="143"/>
      <c r="BH52" s="143"/>
      <c r="BI52" s="143"/>
      <c r="BJ52" s="244"/>
      <c r="BK52" s="143"/>
      <c r="BL52" s="143"/>
      <c r="BM52" s="143"/>
      <c r="BN52" s="143"/>
      <c r="BO52" s="242"/>
      <c r="BP52" s="143">
        <f t="shared" si="9"/>
        <v>0</v>
      </c>
      <c r="BQ52" s="143">
        <f t="shared" si="10"/>
        <v>0</v>
      </c>
      <c r="BR52" s="275">
        <f t="shared" si="11"/>
        <v>0</v>
      </c>
      <c r="BS52" s="246">
        <f t="shared" si="12"/>
        <v>49</v>
      </c>
      <c r="BT52" s="247">
        <f t="shared" si="13"/>
        <v>0</v>
      </c>
      <c r="BU52" s="247">
        <f t="shared" si="14"/>
        <v>0</v>
      </c>
    </row>
    <row r="53" spans="1:73" s="166" customFormat="1" ht="13.5">
      <c r="A53" s="246">
        <v>50</v>
      </c>
      <c r="B53"/>
      <c r="C53"/>
      <c r="D53" s="143"/>
      <c r="E53" s="143"/>
      <c r="F53" s="143"/>
      <c r="G53" s="143"/>
      <c r="H53" s="242"/>
      <c r="I53" s="143"/>
      <c r="J53" s="143"/>
      <c r="K53" s="243"/>
      <c r="L53" s="243"/>
      <c r="M53" s="244"/>
      <c r="N53" s="143"/>
      <c r="O53" s="143"/>
      <c r="P53" s="143"/>
      <c r="Q53" s="143"/>
      <c r="R53" s="143"/>
      <c r="S53" s="244"/>
      <c r="T53" s="143"/>
      <c r="U53" s="143"/>
      <c r="V53" s="143"/>
      <c r="W53" s="143"/>
      <c r="X53" s="244"/>
      <c r="Y53" s="143"/>
      <c r="Z53" s="143"/>
      <c r="AA53" s="143"/>
      <c r="AB53" s="143"/>
      <c r="AC53" s="143"/>
      <c r="AD53" s="244"/>
      <c r="AE53" s="143"/>
      <c r="AF53" s="143"/>
      <c r="AG53" s="143"/>
      <c r="AH53" s="143"/>
      <c r="AI53" s="242"/>
      <c r="AJ53" s="143"/>
      <c r="AK53" s="143"/>
      <c r="AL53" s="143"/>
      <c r="AM53" s="143"/>
      <c r="AN53" s="244"/>
      <c r="AO53" s="143"/>
      <c r="AP53" s="143"/>
      <c r="AQ53" s="143"/>
      <c r="AR53" s="143"/>
      <c r="AS53" s="143"/>
      <c r="AT53" s="244"/>
      <c r="AU53" s="143"/>
      <c r="AV53" s="143"/>
      <c r="AW53" s="143"/>
      <c r="AX53" s="143"/>
      <c r="AY53" s="244"/>
      <c r="AZ53" s="143"/>
      <c r="BA53" s="143"/>
      <c r="BB53" s="143"/>
      <c r="BC53" s="143"/>
      <c r="BD53" s="244"/>
      <c r="BE53" s="143"/>
      <c r="BF53" s="143"/>
      <c r="BG53" s="143"/>
      <c r="BH53" s="143"/>
      <c r="BI53" s="143"/>
      <c r="BJ53" s="244"/>
      <c r="BK53" s="143"/>
      <c r="BL53" s="143"/>
      <c r="BM53" s="143"/>
      <c r="BN53" s="143"/>
      <c r="BO53" s="242"/>
      <c r="BP53" s="143">
        <f t="shared" si="9"/>
        <v>0</v>
      </c>
      <c r="BQ53" s="143">
        <f t="shared" si="10"/>
        <v>0</v>
      </c>
      <c r="BR53" s="275">
        <f t="shared" si="11"/>
        <v>0</v>
      </c>
      <c r="BS53" s="246">
        <f t="shared" si="12"/>
        <v>50</v>
      </c>
      <c r="BT53" s="247">
        <f t="shared" si="13"/>
        <v>0</v>
      </c>
      <c r="BU53" s="247">
        <f t="shared" si="14"/>
        <v>0</v>
      </c>
    </row>
    <row r="54" spans="1:73" s="166" customFormat="1" ht="13.5">
      <c r="A54" s="246">
        <v>51</v>
      </c>
      <c r="B54"/>
      <c r="C54"/>
      <c r="D54" s="143"/>
      <c r="E54" s="143"/>
      <c r="F54" s="143"/>
      <c r="G54" s="143"/>
      <c r="H54" s="242"/>
      <c r="I54" s="143"/>
      <c r="J54" s="143"/>
      <c r="K54" s="243"/>
      <c r="L54" s="243"/>
      <c r="M54" s="244"/>
      <c r="N54" s="143"/>
      <c r="O54" s="143"/>
      <c r="P54" s="143"/>
      <c r="Q54" s="143"/>
      <c r="R54" s="143"/>
      <c r="S54" s="244"/>
      <c r="T54" s="143"/>
      <c r="U54" s="143"/>
      <c r="V54" s="143"/>
      <c r="W54" s="143"/>
      <c r="X54" s="244"/>
      <c r="Y54" s="143"/>
      <c r="Z54" s="143"/>
      <c r="AA54" s="143"/>
      <c r="AB54" s="143"/>
      <c r="AC54" s="143"/>
      <c r="AD54" s="244"/>
      <c r="AE54" s="143"/>
      <c r="AF54" s="143"/>
      <c r="AG54" s="143"/>
      <c r="AH54" s="143"/>
      <c r="AI54" s="242"/>
      <c r="AJ54" s="143"/>
      <c r="AK54" s="143"/>
      <c r="AL54" s="143"/>
      <c r="AM54" s="143"/>
      <c r="AN54" s="244"/>
      <c r="AO54" s="143"/>
      <c r="AP54" s="143"/>
      <c r="AQ54" s="143"/>
      <c r="AR54" s="143"/>
      <c r="AS54" s="143"/>
      <c r="AT54" s="244"/>
      <c r="AU54" s="143"/>
      <c r="AV54" s="143"/>
      <c r="AW54" s="143"/>
      <c r="AX54" s="143"/>
      <c r="AY54" s="244"/>
      <c r="AZ54" s="143"/>
      <c r="BA54" s="143"/>
      <c r="BB54" s="143"/>
      <c r="BC54" s="143"/>
      <c r="BD54" s="244"/>
      <c r="BE54" s="143"/>
      <c r="BF54" s="143"/>
      <c r="BG54" s="143"/>
      <c r="BH54" s="143"/>
      <c r="BI54" s="143"/>
      <c r="BJ54" s="244"/>
      <c r="BK54" s="143"/>
      <c r="BL54" s="143"/>
      <c r="BM54" s="143"/>
      <c r="BN54" s="143"/>
      <c r="BO54" s="242"/>
      <c r="BP54" s="143">
        <f t="shared" si="9"/>
        <v>0</v>
      </c>
      <c r="BQ54" s="143">
        <f t="shared" si="10"/>
        <v>0</v>
      </c>
      <c r="BR54" s="275">
        <f t="shared" si="11"/>
        <v>0</v>
      </c>
      <c r="BS54" s="246">
        <f t="shared" si="12"/>
        <v>51</v>
      </c>
      <c r="BT54" s="247">
        <f t="shared" si="13"/>
        <v>0</v>
      </c>
      <c r="BU54" s="247">
        <f t="shared" si="14"/>
        <v>0</v>
      </c>
    </row>
    <row r="55" spans="1:73" s="166" customFormat="1" ht="13.5">
      <c r="A55" s="246">
        <v>52</v>
      </c>
      <c r="B55"/>
      <c r="C55"/>
      <c r="D55" s="143"/>
      <c r="E55" s="143"/>
      <c r="F55" s="143"/>
      <c r="G55" s="143"/>
      <c r="H55" s="242"/>
      <c r="I55" s="143"/>
      <c r="J55" s="143"/>
      <c r="K55" s="243"/>
      <c r="L55" s="243"/>
      <c r="M55" s="244"/>
      <c r="N55" s="143"/>
      <c r="O55" s="143"/>
      <c r="P55" s="143"/>
      <c r="Q55" s="143"/>
      <c r="R55" s="143"/>
      <c r="S55" s="244"/>
      <c r="T55" s="143"/>
      <c r="U55" s="143"/>
      <c r="V55" s="143"/>
      <c r="W55" s="143"/>
      <c r="X55" s="244"/>
      <c r="Y55" s="143"/>
      <c r="Z55" s="143"/>
      <c r="AA55" s="143"/>
      <c r="AB55" s="143"/>
      <c r="AC55" s="143"/>
      <c r="AD55" s="244"/>
      <c r="AE55" s="143"/>
      <c r="AF55" s="143"/>
      <c r="AG55" s="143"/>
      <c r="AH55" s="143"/>
      <c r="AI55" s="242"/>
      <c r="AJ55" s="143"/>
      <c r="AK55" s="143"/>
      <c r="AL55" s="143"/>
      <c r="AM55" s="143"/>
      <c r="AN55" s="244"/>
      <c r="AO55" s="143"/>
      <c r="AP55" s="143"/>
      <c r="AQ55" s="143"/>
      <c r="AR55" s="143"/>
      <c r="AS55" s="143"/>
      <c r="AT55" s="244"/>
      <c r="AU55" s="143"/>
      <c r="AV55" s="143"/>
      <c r="AW55" s="143"/>
      <c r="AX55" s="143"/>
      <c r="AY55" s="244"/>
      <c r="AZ55" s="143"/>
      <c r="BA55" s="143"/>
      <c r="BB55" s="143"/>
      <c r="BC55" s="143"/>
      <c r="BD55" s="244"/>
      <c r="BE55" s="143"/>
      <c r="BF55" s="143"/>
      <c r="BG55" s="143"/>
      <c r="BH55" s="143"/>
      <c r="BI55" s="143"/>
      <c r="BJ55" s="244"/>
      <c r="BK55" s="143"/>
      <c r="BL55" s="143"/>
      <c r="BM55" s="143"/>
      <c r="BN55" s="143"/>
      <c r="BO55" s="242"/>
      <c r="BP55" s="143">
        <f t="shared" si="9"/>
        <v>0</v>
      </c>
      <c r="BQ55" s="143">
        <f t="shared" si="10"/>
        <v>0</v>
      </c>
      <c r="BR55" s="275">
        <f t="shared" si="11"/>
        <v>0</v>
      </c>
      <c r="BS55" s="246">
        <f t="shared" si="12"/>
        <v>52</v>
      </c>
      <c r="BT55" s="247">
        <f t="shared" si="13"/>
        <v>0</v>
      </c>
      <c r="BU55" s="247"/>
    </row>
    <row r="56" spans="1:73" s="166" customFormat="1" ht="13.5">
      <c r="A56" s="246">
        <v>53</v>
      </c>
      <c r="B56"/>
      <c r="C56"/>
      <c r="D56" s="143"/>
      <c r="E56" s="143"/>
      <c r="F56" s="143"/>
      <c r="G56" s="143"/>
      <c r="H56" s="242"/>
      <c r="I56" s="143"/>
      <c r="J56" s="143"/>
      <c r="K56" s="243"/>
      <c r="L56" s="243"/>
      <c r="M56" s="244"/>
      <c r="N56" s="143"/>
      <c r="O56" s="143"/>
      <c r="P56" s="143"/>
      <c r="Q56" s="143"/>
      <c r="R56" s="143"/>
      <c r="S56" s="244"/>
      <c r="T56" s="143"/>
      <c r="U56" s="143"/>
      <c r="V56" s="143"/>
      <c r="W56" s="143"/>
      <c r="X56" s="244"/>
      <c r="Y56" s="143"/>
      <c r="Z56" s="143"/>
      <c r="AA56" s="143"/>
      <c r="AB56" s="143"/>
      <c r="AC56" s="143"/>
      <c r="AD56" s="244"/>
      <c r="AE56" s="143"/>
      <c r="AF56" s="143"/>
      <c r="AG56" s="143"/>
      <c r="AH56" s="143"/>
      <c r="AI56" s="242"/>
      <c r="AJ56" s="143"/>
      <c r="AK56" s="143"/>
      <c r="AL56" s="143"/>
      <c r="AM56" s="143"/>
      <c r="AN56" s="244"/>
      <c r="AO56" s="143"/>
      <c r="AP56" s="143"/>
      <c r="AQ56" s="143"/>
      <c r="AR56" s="143"/>
      <c r="AS56" s="143"/>
      <c r="AT56" s="244"/>
      <c r="AU56" s="143"/>
      <c r="AV56" s="143"/>
      <c r="AW56" s="143"/>
      <c r="AX56" s="143"/>
      <c r="AY56" s="244"/>
      <c r="AZ56" s="143"/>
      <c r="BA56" s="143"/>
      <c r="BB56" s="143"/>
      <c r="BC56" s="143"/>
      <c r="BD56" s="244"/>
      <c r="BE56" s="143"/>
      <c r="BF56" s="143"/>
      <c r="BG56" s="143"/>
      <c r="BH56" s="143"/>
      <c r="BI56" s="143"/>
      <c r="BJ56" s="244"/>
      <c r="BK56" s="143"/>
      <c r="BL56" s="143"/>
      <c r="BM56" s="143"/>
      <c r="BN56" s="143"/>
      <c r="BO56" s="242"/>
      <c r="BP56" s="143">
        <f t="shared" si="9"/>
        <v>0</v>
      </c>
      <c r="BQ56" s="143">
        <f t="shared" si="10"/>
        <v>0</v>
      </c>
      <c r="BR56" s="275">
        <f t="shared" si="11"/>
        <v>0</v>
      </c>
      <c r="BS56" s="246">
        <f t="shared" si="12"/>
        <v>53</v>
      </c>
      <c r="BT56" s="247">
        <f t="shared" si="13"/>
        <v>0</v>
      </c>
      <c r="BU56" s="247">
        <f aca="true" t="shared" si="15" ref="BU56:BU61">C56</f>
        <v>0</v>
      </c>
    </row>
    <row r="57" spans="1:73" s="166" customFormat="1" ht="13.5">
      <c r="A57" s="246">
        <v>54</v>
      </c>
      <c r="B57"/>
      <c r="C57"/>
      <c r="D57" s="143"/>
      <c r="E57" s="143"/>
      <c r="F57" s="143"/>
      <c r="G57" s="143"/>
      <c r="H57" s="242"/>
      <c r="I57" s="143"/>
      <c r="J57" s="143"/>
      <c r="K57" s="243"/>
      <c r="L57" s="243"/>
      <c r="M57" s="244"/>
      <c r="N57" s="143"/>
      <c r="O57" s="143"/>
      <c r="P57" s="143"/>
      <c r="Q57" s="143"/>
      <c r="R57" s="143"/>
      <c r="S57" s="244"/>
      <c r="T57" s="143"/>
      <c r="U57" s="143"/>
      <c r="V57" s="143"/>
      <c r="W57" s="143"/>
      <c r="X57" s="244"/>
      <c r="Y57" s="143"/>
      <c r="Z57" s="143"/>
      <c r="AA57" s="143"/>
      <c r="AB57" s="143"/>
      <c r="AC57" s="143"/>
      <c r="AD57" s="244"/>
      <c r="AE57" s="143"/>
      <c r="AF57" s="143"/>
      <c r="AG57" s="143"/>
      <c r="AH57" s="143"/>
      <c r="AI57" s="242"/>
      <c r="AJ57" s="143"/>
      <c r="AK57" s="143"/>
      <c r="AL57" s="143"/>
      <c r="AM57" s="143"/>
      <c r="AN57" s="244"/>
      <c r="AO57" s="143"/>
      <c r="AP57" s="143"/>
      <c r="AQ57" s="143"/>
      <c r="AR57" s="143"/>
      <c r="AS57" s="143"/>
      <c r="AT57" s="244"/>
      <c r="AU57" s="143"/>
      <c r="AV57" s="143"/>
      <c r="AW57" s="143"/>
      <c r="AX57" s="143"/>
      <c r="AY57" s="244"/>
      <c r="AZ57" s="143"/>
      <c r="BA57" s="143"/>
      <c r="BB57" s="143"/>
      <c r="BC57" s="143"/>
      <c r="BD57" s="244"/>
      <c r="BE57" s="143"/>
      <c r="BF57" s="143"/>
      <c r="BG57" s="143"/>
      <c r="BH57" s="143"/>
      <c r="BI57" s="143"/>
      <c r="BJ57" s="244"/>
      <c r="BK57" s="143"/>
      <c r="BL57" s="143"/>
      <c r="BM57" s="143"/>
      <c r="BN57" s="143"/>
      <c r="BO57" s="242"/>
      <c r="BP57" s="143">
        <f t="shared" si="9"/>
        <v>0</v>
      </c>
      <c r="BQ57" s="143">
        <f t="shared" si="10"/>
        <v>0</v>
      </c>
      <c r="BR57" s="275">
        <f t="shared" si="11"/>
        <v>0</v>
      </c>
      <c r="BS57" s="246">
        <f t="shared" si="12"/>
        <v>54</v>
      </c>
      <c r="BT57" s="247">
        <f t="shared" si="13"/>
        <v>0</v>
      </c>
      <c r="BU57" s="247">
        <f t="shared" si="15"/>
        <v>0</v>
      </c>
    </row>
    <row r="58" spans="1:73" s="166" customFormat="1" ht="13.5">
      <c r="A58" s="246">
        <v>55</v>
      </c>
      <c r="B58"/>
      <c r="C58"/>
      <c r="D58" s="143"/>
      <c r="E58" s="143"/>
      <c r="F58" s="143"/>
      <c r="G58" s="143"/>
      <c r="H58" s="242"/>
      <c r="I58" s="143"/>
      <c r="J58" s="143"/>
      <c r="K58" s="243"/>
      <c r="L58" s="243"/>
      <c r="M58" s="244"/>
      <c r="N58" s="143"/>
      <c r="O58" s="143"/>
      <c r="P58" s="143"/>
      <c r="Q58" s="143"/>
      <c r="R58" s="143"/>
      <c r="S58" s="244"/>
      <c r="T58" s="143"/>
      <c r="U58" s="143"/>
      <c r="V58" s="143"/>
      <c r="W58" s="143"/>
      <c r="X58" s="244"/>
      <c r="Y58" s="143"/>
      <c r="Z58" s="143"/>
      <c r="AA58" s="143"/>
      <c r="AB58" s="143"/>
      <c r="AC58" s="143"/>
      <c r="AD58" s="244"/>
      <c r="AE58" s="143"/>
      <c r="AF58" s="143"/>
      <c r="AG58" s="143"/>
      <c r="AH58" s="143"/>
      <c r="AI58" s="242"/>
      <c r="AJ58" s="143"/>
      <c r="AK58" s="143"/>
      <c r="AL58" s="143"/>
      <c r="AM58" s="143"/>
      <c r="AN58" s="244"/>
      <c r="AO58" s="143"/>
      <c r="AP58" s="143"/>
      <c r="AQ58" s="143"/>
      <c r="AR58" s="143"/>
      <c r="AS58" s="143"/>
      <c r="AT58" s="244"/>
      <c r="AU58" s="143"/>
      <c r="AV58" s="143"/>
      <c r="AW58" s="143"/>
      <c r="AX58" s="143"/>
      <c r="AY58" s="244"/>
      <c r="AZ58" s="143"/>
      <c r="BA58" s="143"/>
      <c r="BB58" s="143"/>
      <c r="BC58" s="143"/>
      <c r="BD58" s="244"/>
      <c r="BE58" s="143"/>
      <c r="BF58" s="143"/>
      <c r="BG58" s="143"/>
      <c r="BH58" s="143"/>
      <c r="BI58" s="143"/>
      <c r="BJ58" s="244"/>
      <c r="BK58" s="143"/>
      <c r="BL58" s="143"/>
      <c r="BM58" s="143"/>
      <c r="BN58" s="143"/>
      <c r="BO58" s="242"/>
      <c r="BP58" s="143">
        <f t="shared" si="9"/>
        <v>0</v>
      </c>
      <c r="BQ58" s="143">
        <f t="shared" si="10"/>
        <v>0</v>
      </c>
      <c r="BR58" s="275">
        <f t="shared" si="11"/>
        <v>0</v>
      </c>
      <c r="BS58" s="246">
        <f t="shared" si="12"/>
        <v>55</v>
      </c>
      <c r="BT58" s="247">
        <f t="shared" si="13"/>
        <v>0</v>
      </c>
      <c r="BU58" s="247">
        <f t="shared" si="15"/>
        <v>0</v>
      </c>
    </row>
    <row r="59" spans="1:73" s="166" customFormat="1" ht="13.5">
      <c r="A59" s="246">
        <v>56</v>
      </c>
      <c r="B59"/>
      <c r="C59"/>
      <c r="D59" s="143"/>
      <c r="E59" s="143"/>
      <c r="F59" s="143"/>
      <c r="G59" s="143"/>
      <c r="H59" s="242"/>
      <c r="I59" s="143"/>
      <c r="J59" s="143"/>
      <c r="K59" s="243"/>
      <c r="L59" s="243"/>
      <c r="M59" s="244"/>
      <c r="N59" s="143"/>
      <c r="O59" s="143"/>
      <c r="P59" s="143"/>
      <c r="Q59" s="143"/>
      <c r="R59" s="143"/>
      <c r="S59" s="244"/>
      <c r="T59" s="143"/>
      <c r="U59" s="143"/>
      <c r="V59" s="143"/>
      <c r="W59" s="143"/>
      <c r="X59" s="244"/>
      <c r="Y59" s="143"/>
      <c r="Z59" s="143"/>
      <c r="AA59" s="143"/>
      <c r="AB59" s="143"/>
      <c r="AC59" s="143"/>
      <c r="AD59" s="244"/>
      <c r="AE59" s="143"/>
      <c r="AF59" s="143"/>
      <c r="AG59" s="143"/>
      <c r="AH59" s="143"/>
      <c r="AI59" s="242"/>
      <c r="AJ59" s="143"/>
      <c r="AK59" s="143"/>
      <c r="AL59" s="143"/>
      <c r="AM59" s="143"/>
      <c r="AN59" s="244"/>
      <c r="AO59" s="143"/>
      <c r="AP59" s="143"/>
      <c r="AQ59" s="143"/>
      <c r="AR59" s="143"/>
      <c r="AS59" s="143"/>
      <c r="AT59" s="244"/>
      <c r="AU59" s="143"/>
      <c r="AV59" s="143"/>
      <c r="AW59" s="143"/>
      <c r="AX59" s="143"/>
      <c r="AY59" s="244"/>
      <c r="AZ59" s="143"/>
      <c r="BA59" s="143"/>
      <c r="BB59" s="143"/>
      <c r="BC59" s="143"/>
      <c r="BD59" s="244"/>
      <c r="BE59" s="143"/>
      <c r="BF59" s="143"/>
      <c r="BG59" s="143"/>
      <c r="BH59" s="143"/>
      <c r="BI59" s="143"/>
      <c r="BJ59" s="244"/>
      <c r="BK59" s="143"/>
      <c r="BL59" s="143"/>
      <c r="BM59" s="143"/>
      <c r="BN59" s="143"/>
      <c r="BO59" s="242"/>
      <c r="BP59" s="143">
        <f t="shared" si="9"/>
        <v>0</v>
      </c>
      <c r="BQ59" s="143">
        <f t="shared" si="10"/>
        <v>0</v>
      </c>
      <c r="BR59" s="275">
        <f t="shared" si="11"/>
        <v>0</v>
      </c>
      <c r="BS59" s="246">
        <f t="shared" si="12"/>
        <v>56</v>
      </c>
      <c r="BT59" s="247">
        <f t="shared" si="13"/>
        <v>0</v>
      </c>
      <c r="BU59" s="247">
        <f t="shared" si="15"/>
        <v>0</v>
      </c>
    </row>
    <row r="60" spans="1:73" s="166" customFormat="1" ht="13.5">
      <c r="A60" s="246">
        <v>57</v>
      </c>
      <c r="B60"/>
      <c r="C60"/>
      <c r="D60" s="143"/>
      <c r="E60" s="143"/>
      <c r="F60" s="143"/>
      <c r="G60" s="143"/>
      <c r="H60" s="242"/>
      <c r="I60" s="143"/>
      <c r="J60" s="143"/>
      <c r="K60" s="243"/>
      <c r="L60" s="243"/>
      <c r="M60" s="244"/>
      <c r="N60" s="143"/>
      <c r="O60" s="143"/>
      <c r="P60" s="143"/>
      <c r="Q60" s="143"/>
      <c r="R60" s="143"/>
      <c r="S60" s="244"/>
      <c r="T60" s="143"/>
      <c r="U60" s="143"/>
      <c r="V60" s="143"/>
      <c r="W60" s="143"/>
      <c r="X60" s="244"/>
      <c r="Y60" s="143"/>
      <c r="Z60" s="143"/>
      <c r="AA60" s="143"/>
      <c r="AB60" s="143"/>
      <c r="AC60" s="143"/>
      <c r="AD60" s="244"/>
      <c r="AE60" s="143"/>
      <c r="AF60" s="143"/>
      <c r="AG60" s="143"/>
      <c r="AH60" s="143"/>
      <c r="AI60" s="242"/>
      <c r="AJ60" s="143"/>
      <c r="AK60" s="143"/>
      <c r="AL60" s="143"/>
      <c r="AM60" s="143"/>
      <c r="AN60" s="244"/>
      <c r="AO60" s="143"/>
      <c r="AP60" s="143"/>
      <c r="AQ60" s="143"/>
      <c r="AR60" s="143"/>
      <c r="AS60" s="143"/>
      <c r="AT60" s="244"/>
      <c r="AU60" s="143"/>
      <c r="AV60" s="143"/>
      <c r="AW60" s="143"/>
      <c r="AX60" s="143"/>
      <c r="AY60" s="244"/>
      <c r="AZ60" s="143"/>
      <c r="BA60" s="143"/>
      <c r="BB60" s="143"/>
      <c r="BC60" s="143"/>
      <c r="BD60" s="244"/>
      <c r="BE60" s="143"/>
      <c r="BF60" s="143"/>
      <c r="BG60" s="143"/>
      <c r="BH60" s="143"/>
      <c r="BI60" s="143"/>
      <c r="BJ60" s="244"/>
      <c r="BK60" s="143"/>
      <c r="BL60" s="143"/>
      <c r="BM60" s="143"/>
      <c r="BN60" s="143"/>
      <c r="BO60" s="242"/>
      <c r="BP60" s="143">
        <f t="shared" si="9"/>
        <v>0</v>
      </c>
      <c r="BQ60" s="143">
        <f t="shared" si="10"/>
        <v>0</v>
      </c>
      <c r="BR60" s="275">
        <f t="shared" si="11"/>
        <v>0</v>
      </c>
      <c r="BS60" s="246">
        <f t="shared" si="12"/>
        <v>57</v>
      </c>
      <c r="BT60" s="247">
        <f t="shared" si="13"/>
        <v>0</v>
      </c>
      <c r="BU60" s="247">
        <f t="shared" si="15"/>
        <v>0</v>
      </c>
    </row>
    <row r="61" spans="1:73" s="166" customFormat="1" ht="13.5">
      <c r="A61" s="246">
        <v>58</v>
      </c>
      <c r="B61"/>
      <c r="C61"/>
      <c r="D61" s="143"/>
      <c r="E61" s="143"/>
      <c r="F61" s="143"/>
      <c r="G61" s="143"/>
      <c r="H61" s="242"/>
      <c r="I61" s="143"/>
      <c r="J61" s="143"/>
      <c r="K61" s="243"/>
      <c r="L61" s="243"/>
      <c r="M61" s="244"/>
      <c r="N61" s="143"/>
      <c r="O61" s="143"/>
      <c r="P61" s="143"/>
      <c r="Q61" s="143"/>
      <c r="R61" s="143"/>
      <c r="S61" s="244"/>
      <c r="T61" s="143"/>
      <c r="U61" s="143"/>
      <c r="V61" s="143"/>
      <c r="W61" s="143"/>
      <c r="X61" s="244"/>
      <c r="Y61" s="143"/>
      <c r="Z61" s="143"/>
      <c r="AA61" s="143"/>
      <c r="AB61" s="143"/>
      <c r="AC61" s="143"/>
      <c r="AD61" s="244"/>
      <c r="AE61" s="143"/>
      <c r="AF61" s="143"/>
      <c r="AG61" s="143"/>
      <c r="AH61" s="143"/>
      <c r="AI61" s="242"/>
      <c r="AJ61" s="143"/>
      <c r="AK61" s="143"/>
      <c r="AL61" s="143"/>
      <c r="AM61" s="143"/>
      <c r="AN61" s="244"/>
      <c r="AO61" s="143"/>
      <c r="AP61" s="143"/>
      <c r="AQ61" s="143"/>
      <c r="AR61" s="143"/>
      <c r="AS61" s="143"/>
      <c r="AT61" s="244"/>
      <c r="AU61" s="143"/>
      <c r="AV61" s="143"/>
      <c r="AW61" s="143"/>
      <c r="AX61" s="143"/>
      <c r="AY61" s="244"/>
      <c r="AZ61" s="143"/>
      <c r="BA61" s="143"/>
      <c r="BB61" s="143"/>
      <c r="BC61" s="143"/>
      <c r="BD61" s="244"/>
      <c r="BE61" s="143"/>
      <c r="BF61" s="143"/>
      <c r="BG61" s="143"/>
      <c r="BH61" s="143"/>
      <c r="BI61" s="143"/>
      <c r="BJ61" s="244"/>
      <c r="BK61" s="143"/>
      <c r="BL61" s="143"/>
      <c r="BM61" s="143"/>
      <c r="BN61" s="143"/>
      <c r="BO61" s="242"/>
      <c r="BP61" s="143">
        <f t="shared" si="9"/>
        <v>0</v>
      </c>
      <c r="BQ61" s="143">
        <f t="shared" si="10"/>
        <v>0</v>
      </c>
      <c r="BR61" s="275">
        <f t="shared" si="11"/>
        <v>0</v>
      </c>
      <c r="BS61" s="246">
        <f t="shared" si="12"/>
        <v>58</v>
      </c>
      <c r="BT61" s="247">
        <f t="shared" si="13"/>
        <v>0</v>
      </c>
      <c r="BU61" s="247">
        <f t="shared" si="15"/>
        <v>0</v>
      </c>
    </row>
    <row r="62" spans="1:73" s="166" customFormat="1" ht="13.5">
      <c r="A62" s="246">
        <v>59</v>
      </c>
      <c r="B62"/>
      <c r="C62"/>
      <c r="D62" s="143"/>
      <c r="E62" s="143"/>
      <c r="F62" s="143"/>
      <c r="G62" s="143"/>
      <c r="H62" s="242"/>
      <c r="I62" s="143"/>
      <c r="J62" s="143"/>
      <c r="K62" s="243"/>
      <c r="L62" s="243"/>
      <c r="M62" s="244"/>
      <c r="N62" s="143"/>
      <c r="O62" s="143"/>
      <c r="P62" s="143"/>
      <c r="Q62" s="143"/>
      <c r="R62" s="143"/>
      <c r="S62" s="244"/>
      <c r="T62" s="143"/>
      <c r="U62" s="143"/>
      <c r="V62" s="143"/>
      <c r="W62" s="143"/>
      <c r="X62" s="244"/>
      <c r="Y62" s="143"/>
      <c r="Z62" s="143"/>
      <c r="AA62" s="143"/>
      <c r="AB62" s="143"/>
      <c r="AC62" s="143"/>
      <c r="AD62" s="244"/>
      <c r="AE62" s="143"/>
      <c r="AF62" s="143"/>
      <c r="AG62" s="143"/>
      <c r="AH62" s="143"/>
      <c r="AI62" s="242"/>
      <c r="AJ62" s="143"/>
      <c r="AK62" s="143"/>
      <c r="AL62" s="143"/>
      <c r="AM62" s="143"/>
      <c r="AN62" s="244"/>
      <c r="AO62" s="143"/>
      <c r="AP62" s="143"/>
      <c r="AQ62" s="143"/>
      <c r="AR62" s="143"/>
      <c r="AS62" s="143"/>
      <c r="AT62" s="244"/>
      <c r="AU62" s="143"/>
      <c r="AV62" s="143"/>
      <c r="AW62" s="143"/>
      <c r="AX62" s="143"/>
      <c r="AY62" s="244"/>
      <c r="AZ62" s="143"/>
      <c r="BA62" s="143"/>
      <c r="BB62" s="143"/>
      <c r="BC62" s="143"/>
      <c r="BD62" s="244"/>
      <c r="BE62" s="143"/>
      <c r="BF62" s="143"/>
      <c r="BG62" s="143"/>
      <c r="BH62" s="143"/>
      <c r="BI62" s="143"/>
      <c r="BJ62" s="244"/>
      <c r="BK62" s="143"/>
      <c r="BL62" s="143"/>
      <c r="BM62" s="143"/>
      <c r="BN62" s="143"/>
      <c r="BO62" s="242"/>
      <c r="BP62" s="143">
        <f t="shared" si="9"/>
        <v>0</v>
      </c>
      <c r="BQ62" s="143">
        <f t="shared" si="10"/>
        <v>0</v>
      </c>
      <c r="BR62" s="275">
        <f t="shared" si="11"/>
        <v>0</v>
      </c>
      <c r="BS62" s="246">
        <f t="shared" si="12"/>
        <v>59</v>
      </c>
      <c r="BT62" s="247">
        <f t="shared" si="13"/>
        <v>0</v>
      </c>
      <c r="BU62" s="247"/>
    </row>
    <row r="63" spans="1:73" s="166" customFormat="1" ht="13.5">
      <c r="A63" s="246">
        <v>60</v>
      </c>
      <c r="B63"/>
      <c r="C63"/>
      <c r="D63" s="143"/>
      <c r="E63" s="143"/>
      <c r="F63" s="143"/>
      <c r="G63" s="143"/>
      <c r="H63" s="242"/>
      <c r="I63" s="143"/>
      <c r="J63" s="143"/>
      <c r="K63" s="243"/>
      <c r="L63" s="243"/>
      <c r="M63" s="244"/>
      <c r="N63" s="143"/>
      <c r="O63" s="143"/>
      <c r="P63" s="143"/>
      <c r="Q63" s="143"/>
      <c r="R63" s="143"/>
      <c r="S63" s="244"/>
      <c r="T63" s="143"/>
      <c r="U63" s="143"/>
      <c r="V63" s="143"/>
      <c r="W63" s="143"/>
      <c r="X63" s="244"/>
      <c r="Y63" s="143"/>
      <c r="Z63" s="143"/>
      <c r="AA63" s="143"/>
      <c r="AB63" s="143"/>
      <c r="AC63" s="143"/>
      <c r="AD63" s="244"/>
      <c r="AE63" s="143"/>
      <c r="AF63" s="143"/>
      <c r="AG63" s="143"/>
      <c r="AH63" s="143"/>
      <c r="AI63" s="242"/>
      <c r="AJ63" s="143"/>
      <c r="AK63" s="143"/>
      <c r="AL63" s="143"/>
      <c r="AM63" s="143"/>
      <c r="AN63" s="244"/>
      <c r="AO63" s="143"/>
      <c r="AP63" s="143"/>
      <c r="AQ63" s="143"/>
      <c r="AR63" s="143"/>
      <c r="AS63" s="143"/>
      <c r="AT63" s="244"/>
      <c r="AU63" s="143"/>
      <c r="AV63" s="143"/>
      <c r="AW63" s="143"/>
      <c r="AX63" s="143"/>
      <c r="AY63" s="244"/>
      <c r="AZ63" s="143"/>
      <c r="BA63" s="143"/>
      <c r="BB63" s="143"/>
      <c r="BC63" s="143"/>
      <c r="BD63" s="244"/>
      <c r="BE63" s="143"/>
      <c r="BF63" s="143"/>
      <c r="BG63" s="143"/>
      <c r="BH63" s="143"/>
      <c r="BI63" s="143"/>
      <c r="BJ63" s="244"/>
      <c r="BK63" s="143"/>
      <c r="BL63" s="143"/>
      <c r="BM63" s="143"/>
      <c r="BN63" s="143"/>
      <c r="BO63" s="242"/>
      <c r="BP63" s="143">
        <f t="shared" si="9"/>
        <v>0</v>
      </c>
      <c r="BQ63" s="143">
        <f t="shared" si="10"/>
        <v>0</v>
      </c>
      <c r="BR63" s="275">
        <f t="shared" si="11"/>
        <v>0</v>
      </c>
      <c r="BS63" s="246">
        <f t="shared" si="12"/>
        <v>60</v>
      </c>
      <c r="BT63" s="247">
        <f t="shared" si="13"/>
        <v>0</v>
      </c>
      <c r="BU63" s="247">
        <f aca="true" t="shared" si="16" ref="BU63:BU73">C63</f>
        <v>0</v>
      </c>
    </row>
    <row r="64" spans="1:73" s="166" customFormat="1" ht="13.5">
      <c r="A64" s="246">
        <v>61</v>
      </c>
      <c r="B64"/>
      <c r="C64"/>
      <c r="D64" s="143"/>
      <c r="E64" s="143"/>
      <c r="F64" s="143"/>
      <c r="G64" s="143"/>
      <c r="H64" s="242"/>
      <c r="I64" s="143"/>
      <c r="J64" s="143"/>
      <c r="K64" s="243"/>
      <c r="L64" s="243"/>
      <c r="M64" s="244"/>
      <c r="N64" s="143"/>
      <c r="O64" s="143"/>
      <c r="P64" s="143"/>
      <c r="Q64" s="143"/>
      <c r="R64" s="143"/>
      <c r="S64" s="244"/>
      <c r="T64" s="143"/>
      <c r="U64" s="143"/>
      <c r="V64" s="143"/>
      <c r="W64" s="143"/>
      <c r="X64" s="244"/>
      <c r="Y64" s="143"/>
      <c r="Z64" s="143"/>
      <c r="AA64" s="143"/>
      <c r="AB64" s="143"/>
      <c r="AC64" s="143"/>
      <c r="AD64" s="244"/>
      <c r="AE64" s="143"/>
      <c r="AF64" s="143"/>
      <c r="AG64" s="143"/>
      <c r="AH64" s="143"/>
      <c r="AI64" s="242"/>
      <c r="AJ64" s="143"/>
      <c r="AK64" s="143"/>
      <c r="AL64" s="143"/>
      <c r="AM64" s="143"/>
      <c r="AN64" s="244"/>
      <c r="AO64" s="143"/>
      <c r="AP64" s="143"/>
      <c r="AQ64" s="143"/>
      <c r="AR64" s="143"/>
      <c r="AS64" s="143"/>
      <c r="AT64" s="244"/>
      <c r="AU64" s="143"/>
      <c r="AV64" s="143"/>
      <c r="AW64" s="143"/>
      <c r="AX64" s="143"/>
      <c r="AY64" s="244"/>
      <c r="AZ64" s="143"/>
      <c r="BA64" s="143"/>
      <c r="BB64" s="143"/>
      <c r="BC64" s="143"/>
      <c r="BD64" s="244"/>
      <c r="BE64" s="143"/>
      <c r="BF64" s="143"/>
      <c r="BG64" s="143"/>
      <c r="BH64" s="143"/>
      <c r="BI64" s="143"/>
      <c r="BJ64" s="244"/>
      <c r="BK64" s="143"/>
      <c r="BL64" s="143"/>
      <c r="BM64" s="143"/>
      <c r="BN64" s="143"/>
      <c r="BO64" s="242"/>
      <c r="BP64" s="143">
        <f t="shared" si="9"/>
        <v>0</v>
      </c>
      <c r="BQ64" s="143">
        <f t="shared" si="10"/>
        <v>0</v>
      </c>
      <c r="BR64" s="275">
        <f t="shared" si="11"/>
        <v>0</v>
      </c>
      <c r="BS64" s="246">
        <f t="shared" si="12"/>
        <v>61</v>
      </c>
      <c r="BT64" s="247">
        <f t="shared" si="13"/>
        <v>0</v>
      </c>
      <c r="BU64" s="247">
        <f t="shared" si="16"/>
        <v>0</v>
      </c>
    </row>
    <row r="65" spans="1:73" s="166" customFormat="1" ht="13.5">
      <c r="A65" s="246">
        <v>62</v>
      </c>
      <c r="B65"/>
      <c r="C65"/>
      <c r="D65" s="143"/>
      <c r="E65" s="143"/>
      <c r="F65" s="143"/>
      <c r="G65" s="143"/>
      <c r="H65" s="242"/>
      <c r="I65" s="143"/>
      <c r="J65" s="143"/>
      <c r="K65" s="243"/>
      <c r="L65" s="243"/>
      <c r="M65" s="244"/>
      <c r="N65" s="143"/>
      <c r="O65" s="143"/>
      <c r="P65" s="143"/>
      <c r="Q65" s="143"/>
      <c r="R65" s="143"/>
      <c r="S65" s="244"/>
      <c r="T65" s="143"/>
      <c r="U65" s="143"/>
      <c r="V65" s="143"/>
      <c r="W65" s="143"/>
      <c r="X65" s="244"/>
      <c r="Y65" s="143"/>
      <c r="Z65" s="143"/>
      <c r="AA65" s="143"/>
      <c r="AB65" s="143"/>
      <c r="AC65" s="143"/>
      <c r="AD65" s="244"/>
      <c r="AE65" s="143"/>
      <c r="AF65" s="143"/>
      <c r="AG65" s="143"/>
      <c r="AH65" s="143"/>
      <c r="AI65" s="242"/>
      <c r="AJ65" s="143"/>
      <c r="AK65" s="143"/>
      <c r="AL65" s="143"/>
      <c r="AM65" s="143"/>
      <c r="AN65" s="244"/>
      <c r="AO65" s="143"/>
      <c r="AP65" s="143"/>
      <c r="AQ65" s="143"/>
      <c r="AR65" s="143"/>
      <c r="AS65" s="143"/>
      <c r="AT65" s="244"/>
      <c r="AU65" s="143"/>
      <c r="AV65" s="143"/>
      <c r="AW65" s="143"/>
      <c r="AX65" s="143"/>
      <c r="AY65" s="244"/>
      <c r="AZ65" s="143"/>
      <c r="BA65" s="143"/>
      <c r="BB65" s="143"/>
      <c r="BC65" s="143"/>
      <c r="BD65" s="244"/>
      <c r="BE65" s="143"/>
      <c r="BF65" s="143"/>
      <c r="BG65" s="143"/>
      <c r="BH65" s="143"/>
      <c r="BI65" s="143"/>
      <c r="BJ65" s="244"/>
      <c r="BK65" s="143"/>
      <c r="BL65" s="143"/>
      <c r="BM65" s="143"/>
      <c r="BN65" s="143"/>
      <c r="BO65" s="242"/>
      <c r="BP65" s="143">
        <f t="shared" si="9"/>
        <v>0</v>
      </c>
      <c r="BQ65" s="143">
        <f t="shared" si="10"/>
        <v>0</v>
      </c>
      <c r="BR65" s="275">
        <f t="shared" si="11"/>
        <v>0</v>
      </c>
      <c r="BS65" s="246">
        <f t="shared" si="12"/>
        <v>62</v>
      </c>
      <c r="BT65" s="247">
        <f t="shared" si="13"/>
        <v>0</v>
      </c>
      <c r="BU65" s="247">
        <f t="shared" si="16"/>
        <v>0</v>
      </c>
    </row>
    <row r="66" spans="1:73" s="166" customFormat="1" ht="13.5">
      <c r="A66" s="246">
        <v>63</v>
      </c>
      <c r="B66"/>
      <c r="C66"/>
      <c r="D66" s="143"/>
      <c r="E66" s="143"/>
      <c r="F66" s="143"/>
      <c r="G66" s="143"/>
      <c r="H66" s="242"/>
      <c r="I66" s="143"/>
      <c r="J66" s="143"/>
      <c r="K66" s="243"/>
      <c r="L66" s="243"/>
      <c r="M66" s="244"/>
      <c r="N66" s="143"/>
      <c r="O66" s="143"/>
      <c r="P66" s="143"/>
      <c r="Q66" s="143"/>
      <c r="R66" s="143"/>
      <c r="S66" s="244"/>
      <c r="T66" s="143"/>
      <c r="U66" s="143"/>
      <c r="V66" s="143"/>
      <c r="W66" s="143"/>
      <c r="X66" s="244"/>
      <c r="Y66" s="143"/>
      <c r="Z66" s="143"/>
      <c r="AA66" s="143"/>
      <c r="AB66" s="143"/>
      <c r="AC66" s="143"/>
      <c r="AD66" s="244"/>
      <c r="AE66" s="143"/>
      <c r="AF66" s="143"/>
      <c r="AG66" s="143"/>
      <c r="AH66" s="143"/>
      <c r="AI66" s="242"/>
      <c r="AJ66" s="143"/>
      <c r="AK66" s="143"/>
      <c r="AL66" s="143"/>
      <c r="AM66" s="143"/>
      <c r="AN66" s="244"/>
      <c r="AO66" s="143"/>
      <c r="AP66" s="143"/>
      <c r="AQ66" s="143"/>
      <c r="AR66" s="143"/>
      <c r="AS66" s="143"/>
      <c r="AT66" s="244"/>
      <c r="AU66" s="143"/>
      <c r="AV66" s="143"/>
      <c r="AW66" s="143"/>
      <c r="AX66" s="143"/>
      <c r="AY66" s="244"/>
      <c r="AZ66" s="143"/>
      <c r="BA66" s="143"/>
      <c r="BB66" s="143"/>
      <c r="BC66" s="143"/>
      <c r="BD66" s="244"/>
      <c r="BE66" s="143"/>
      <c r="BF66" s="143"/>
      <c r="BG66" s="143"/>
      <c r="BH66" s="143"/>
      <c r="BI66" s="143"/>
      <c r="BJ66" s="244"/>
      <c r="BK66" s="143"/>
      <c r="BL66" s="143"/>
      <c r="BM66" s="143"/>
      <c r="BN66" s="143"/>
      <c r="BO66" s="242"/>
      <c r="BP66" s="143">
        <f t="shared" si="9"/>
        <v>0</v>
      </c>
      <c r="BQ66" s="143">
        <f t="shared" si="10"/>
        <v>0</v>
      </c>
      <c r="BR66" s="275">
        <f t="shared" si="11"/>
        <v>0</v>
      </c>
      <c r="BS66" s="246">
        <f t="shared" si="12"/>
        <v>63</v>
      </c>
      <c r="BT66" s="247">
        <f t="shared" si="13"/>
        <v>0</v>
      </c>
      <c r="BU66" s="247">
        <f t="shared" si="16"/>
        <v>0</v>
      </c>
    </row>
    <row r="67" spans="1:73" s="166" customFormat="1" ht="13.5">
      <c r="A67" s="246">
        <v>64</v>
      </c>
      <c r="B67"/>
      <c r="C67"/>
      <c r="D67" s="143"/>
      <c r="E67" s="143"/>
      <c r="F67" s="143"/>
      <c r="G67" s="143"/>
      <c r="H67" s="242"/>
      <c r="I67" s="143"/>
      <c r="J67" s="143"/>
      <c r="K67" s="243"/>
      <c r="L67" s="243"/>
      <c r="M67" s="244"/>
      <c r="N67" s="143"/>
      <c r="O67" s="143"/>
      <c r="P67" s="143"/>
      <c r="Q67" s="143"/>
      <c r="R67" s="143"/>
      <c r="S67" s="244"/>
      <c r="T67" s="143"/>
      <c r="U67" s="143"/>
      <c r="V67" s="143"/>
      <c r="W67" s="143"/>
      <c r="X67" s="244"/>
      <c r="Y67" s="143"/>
      <c r="Z67" s="143"/>
      <c r="AA67" s="143"/>
      <c r="AB67" s="143"/>
      <c r="AC67" s="143"/>
      <c r="AD67" s="244"/>
      <c r="AE67" s="143"/>
      <c r="AF67" s="143"/>
      <c r="AG67" s="143"/>
      <c r="AH67" s="143"/>
      <c r="AI67" s="242"/>
      <c r="AJ67" s="143"/>
      <c r="AK67" s="143"/>
      <c r="AL67" s="143"/>
      <c r="AM67" s="143"/>
      <c r="AN67" s="244"/>
      <c r="AO67" s="143"/>
      <c r="AP67" s="143"/>
      <c r="AQ67" s="143"/>
      <c r="AR67" s="143"/>
      <c r="AS67" s="143"/>
      <c r="AT67" s="244"/>
      <c r="AU67" s="143"/>
      <c r="AV67" s="143"/>
      <c r="AW67" s="143"/>
      <c r="AX67" s="143"/>
      <c r="AY67" s="244"/>
      <c r="AZ67" s="143"/>
      <c r="BA67" s="143"/>
      <c r="BB67" s="143"/>
      <c r="BC67" s="143"/>
      <c r="BD67" s="244"/>
      <c r="BE67" s="143"/>
      <c r="BF67" s="143"/>
      <c r="BG67" s="143"/>
      <c r="BH67" s="143"/>
      <c r="BI67" s="143"/>
      <c r="BJ67" s="244"/>
      <c r="BK67" s="143"/>
      <c r="BL67" s="143"/>
      <c r="BM67" s="143"/>
      <c r="BN67" s="143"/>
      <c r="BO67" s="242"/>
      <c r="BP67" s="143">
        <f t="shared" si="9"/>
        <v>0</v>
      </c>
      <c r="BQ67" s="143">
        <f t="shared" si="10"/>
        <v>0</v>
      </c>
      <c r="BR67" s="275">
        <f t="shared" si="11"/>
        <v>0</v>
      </c>
      <c r="BS67" s="246">
        <f t="shared" si="12"/>
        <v>64</v>
      </c>
      <c r="BT67" s="247">
        <f t="shared" si="13"/>
        <v>0</v>
      </c>
      <c r="BU67" s="247">
        <f t="shared" si="16"/>
        <v>0</v>
      </c>
    </row>
    <row r="68" spans="1:73" s="166" customFormat="1" ht="13.5">
      <c r="A68" s="246">
        <v>65</v>
      </c>
      <c r="B68"/>
      <c r="C68"/>
      <c r="D68" s="143"/>
      <c r="E68" s="143"/>
      <c r="F68" s="143"/>
      <c r="G68" s="143"/>
      <c r="H68" s="242"/>
      <c r="I68" s="143"/>
      <c r="J68" s="143"/>
      <c r="K68" s="243"/>
      <c r="L68" s="243"/>
      <c r="M68" s="244"/>
      <c r="N68" s="143"/>
      <c r="O68" s="143"/>
      <c r="P68" s="143"/>
      <c r="Q68" s="143"/>
      <c r="R68" s="143"/>
      <c r="S68" s="244"/>
      <c r="T68" s="143"/>
      <c r="U68" s="143"/>
      <c r="V68" s="143"/>
      <c r="W68" s="143"/>
      <c r="X68" s="244"/>
      <c r="Y68" s="143"/>
      <c r="Z68" s="143"/>
      <c r="AA68" s="143"/>
      <c r="AB68" s="143"/>
      <c r="AC68" s="143"/>
      <c r="AD68" s="244"/>
      <c r="AE68" s="143"/>
      <c r="AF68" s="143"/>
      <c r="AG68" s="143"/>
      <c r="AH68" s="143"/>
      <c r="AI68" s="242"/>
      <c r="AJ68" s="143"/>
      <c r="AK68" s="143"/>
      <c r="AL68" s="143"/>
      <c r="AM68" s="143"/>
      <c r="AN68" s="244"/>
      <c r="AO68" s="143"/>
      <c r="AP68" s="143"/>
      <c r="AQ68" s="143"/>
      <c r="AR68" s="143"/>
      <c r="AS68" s="143"/>
      <c r="AT68" s="244"/>
      <c r="AU68" s="143"/>
      <c r="AV68" s="143"/>
      <c r="AW68" s="143"/>
      <c r="AX68" s="143"/>
      <c r="AY68" s="244"/>
      <c r="AZ68" s="143"/>
      <c r="BA68" s="143"/>
      <c r="BB68" s="143"/>
      <c r="BC68" s="143"/>
      <c r="BD68" s="244"/>
      <c r="BE68" s="143"/>
      <c r="BF68" s="143"/>
      <c r="BG68" s="143"/>
      <c r="BH68" s="143"/>
      <c r="BI68" s="143"/>
      <c r="BJ68" s="244"/>
      <c r="BK68" s="143"/>
      <c r="BL68" s="143"/>
      <c r="BM68" s="143"/>
      <c r="BN68" s="143"/>
      <c r="BO68" s="242"/>
      <c r="BP68" s="143">
        <f aca="true" t="shared" si="17" ref="BP68:BP99">SUM(D68:BO68)</f>
        <v>0</v>
      </c>
      <c r="BQ68" s="143">
        <f aca="true" t="shared" si="18" ref="BQ68:BQ99">BP68-BO68-BJ68-BD68-AY68-AT68-AN68-AI68-AD68-X68-S68-M68-H68</f>
        <v>0</v>
      </c>
      <c r="BR68" s="275">
        <f aca="true" t="shared" si="19" ref="BR68:BR104">BP68/$BR$3</f>
        <v>0</v>
      </c>
      <c r="BS68" s="246">
        <f t="shared" si="12"/>
        <v>65</v>
      </c>
      <c r="BT68" s="247">
        <f t="shared" si="13"/>
        <v>0</v>
      </c>
      <c r="BU68" s="247">
        <f t="shared" si="16"/>
        <v>0</v>
      </c>
    </row>
    <row r="69" spans="1:73" s="166" customFormat="1" ht="13.5">
      <c r="A69" s="246">
        <v>66</v>
      </c>
      <c r="B69"/>
      <c r="C69"/>
      <c r="D69" s="143"/>
      <c r="E69" s="143"/>
      <c r="F69" s="143"/>
      <c r="G69" s="143"/>
      <c r="H69" s="242"/>
      <c r="I69" s="143"/>
      <c r="J69" s="143"/>
      <c r="K69" s="243"/>
      <c r="L69" s="243"/>
      <c r="M69" s="244"/>
      <c r="N69" s="143"/>
      <c r="O69" s="143"/>
      <c r="P69" s="143"/>
      <c r="Q69" s="143"/>
      <c r="R69" s="143"/>
      <c r="S69" s="244"/>
      <c r="T69" s="143"/>
      <c r="U69" s="143"/>
      <c r="V69" s="143"/>
      <c r="W69" s="143"/>
      <c r="X69" s="244"/>
      <c r="Y69" s="143"/>
      <c r="Z69" s="143"/>
      <c r="AA69" s="143"/>
      <c r="AB69" s="143"/>
      <c r="AC69" s="143"/>
      <c r="AD69" s="244"/>
      <c r="AE69" s="143"/>
      <c r="AF69" s="143"/>
      <c r="AG69" s="143"/>
      <c r="AH69" s="143"/>
      <c r="AI69" s="242"/>
      <c r="AJ69" s="143"/>
      <c r="AK69" s="143"/>
      <c r="AL69" s="143"/>
      <c r="AM69" s="143"/>
      <c r="AN69" s="244"/>
      <c r="AO69" s="143"/>
      <c r="AP69" s="143"/>
      <c r="AQ69" s="143"/>
      <c r="AR69" s="143"/>
      <c r="AS69" s="143"/>
      <c r="AT69" s="244"/>
      <c r="AU69" s="143"/>
      <c r="AV69" s="143"/>
      <c r="AW69" s="143"/>
      <c r="AX69" s="143"/>
      <c r="AY69" s="244"/>
      <c r="AZ69" s="143"/>
      <c r="BA69" s="143"/>
      <c r="BB69" s="143"/>
      <c r="BC69" s="143"/>
      <c r="BD69" s="244"/>
      <c r="BE69" s="143"/>
      <c r="BF69" s="143"/>
      <c r="BG69" s="143"/>
      <c r="BH69" s="143"/>
      <c r="BI69" s="143"/>
      <c r="BJ69" s="244"/>
      <c r="BK69" s="143"/>
      <c r="BL69" s="143"/>
      <c r="BM69" s="143"/>
      <c r="BN69" s="143"/>
      <c r="BO69" s="242"/>
      <c r="BP69" s="143">
        <f t="shared" si="17"/>
        <v>0</v>
      </c>
      <c r="BQ69" s="143">
        <f t="shared" si="18"/>
        <v>0</v>
      </c>
      <c r="BR69" s="275">
        <f t="shared" si="19"/>
        <v>0</v>
      </c>
      <c r="BS69" s="246">
        <f t="shared" si="12"/>
        <v>66</v>
      </c>
      <c r="BT69" s="247">
        <f t="shared" si="13"/>
        <v>0</v>
      </c>
      <c r="BU69" s="247">
        <f t="shared" si="16"/>
        <v>0</v>
      </c>
    </row>
    <row r="70" spans="1:73" s="166" customFormat="1" ht="13.5">
      <c r="A70" s="246">
        <v>67</v>
      </c>
      <c r="B70"/>
      <c r="C70"/>
      <c r="D70" s="143"/>
      <c r="E70" s="143"/>
      <c r="F70" s="143"/>
      <c r="G70" s="143"/>
      <c r="H70" s="242"/>
      <c r="I70" s="143"/>
      <c r="J70" s="143"/>
      <c r="K70" s="243"/>
      <c r="L70" s="243"/>
      <c r="M70" s="244"/>
      <c r="N70" s="143"/>
      <c r="O70" s="143"/>
      <c r="P70" s="143"/>
      <c r="Q70" s="143"/>
      <c r="R70" s="143"/>
      <c r="S70" s="244"/>
      <c r="T70" s="143"/>
      <c r="U70" s="143"/>
      <c r="V70" s="143"/>
      <c r="W70" s="143"/>
      <c r="X70" s="244"/>
      <c r="Y70" s="143"/>
      <c r="Z70" s="143"/>
      <c r="AA70" s="143"/>
      <c r="AB70" s="143"/>
      <c r="AC70" s="143"/>
      <c r="AD70" s="244"/>
      <c r="AE70" s="143"/>
      <c r="AF70" s="143"/>
      <c r="AG70" s="143"/>
      <c r="AH70" s="143"/>
      <c r="AI70" s="242"/>
      <c r="AJ70" s="143"/>
      <c r="AK70" s="143"/>
      <c r="AL70" s="143"/>
      <c r="AM70" s="143"/>
      <c r="AN70" s="244"/>
      <c r="AO70" s="143"/>
      <c r="AP70" s="143"/>
      <c r="AQ70" s="143"/>
      <c r="AR70" s="143"/>
      <c r="AS70" s="143"/>
      <c r="AT70" s="244"/>
      <c r="AU70" s="143"/>
      <c r="AV70" s="143"/>
      <c r="AW70" s="143"/>
      <c r="AX70" s="143"/>
      <c r="AY70" s="244"/>
      <c r="AZ70" s="143"/>
      <c r="BA70" s="143"/>
      <c r="BB70" s="143"/>
      <c r="BC70" s="143"/>
      <c r="BD70" s="244"/>
      <c r="BE70" s="143"/>
      <c r="BF70" s="143"/>
      <c r="BG70" s="143"/>
      <c r="BH70" s="143"/>
      <c r="BI70" s="143"/>
      <c r="BJ70" s="244"/>
      <c r="BK70" s="143"/>
      <c r="BL70" s="143"/>
      <c r="BM70" s="143"/>
      <c r="BN70" s="143"/>
      <c r="BO70" s="242"/>
      <c r="BP70" s="143">
        <f t="shared" si="17"/>
        <v>0</v>
      </c>
      <c r="BQ70" s="143">
        <f t="shared" si="18"/>
        <v>0</v>
      </c>
      <c r="BR70" s="275">
        <f t="shared" si="19"/>
        <v>0</v>
      </c>
      <c r="BS70" s="246">
        <f t="shared" si="12"/>
        <v>67</v>
      </c>
      <c r="BT70" s="247">
        <f t="shared" si="13"/>
        <v>0</v>
      </c>
      <c r="BU70" s="247">
        <f t="shared" si="16"/>
        <v>0</v>
      </c>
    </row>
    <row r="71" spans="1:73" s="166" customFormat="1" ht="13.5">
      <c r="A71" s="246">
        <v>68</v>
      </c>
      <c r="B71"/>
      <c r="C71"/>
      <c r="D71" s="143"/>
      <c r="E71" s="143"/>
      <c r="F71" s="143"/>
      <c r="G71" s="143"/>
      <c r="H71" s="242"/>
      <c r="I71" s="143"/>
      <c r="J71" s="143"/>
      <c r="K71" s="243"/>
      <c r="L71" s="243"/>
      <c r="M71" s="244"/>
      <c r="N71" s="143"/>
      <c r="O71" s="143"/>
      <c r="P71" s="143"/>
      <c r="Q71" s="143"/>
      <c r="R71" s="143"/>
      <c r="S71" s="244"/>
      <c r="T71" s="143"/>
      <c r="U71" s="143"/>
      <c r="V71" s="143"/>
      <c r="W71" s="143"/>
      <c r="X71" s="244"/>
      <c r="Y71" s="143"/>
      <c r="Z71" s="143"/>
      <c r="AA71" s="143"/>
      <c r="AB71" s="143"/>
      <c r="AC71" s="143"/>
      <c r="AD71" s="244"/>
      <c r="AE71" s="143"/>
      <c r="AF71" s="143"/>
      <c r="AG71" s="143"/>
      <c r="AH71" s="143"/>
      <c r="AI71" s="242"/>
      <c r="AJ71" s="143"/>
      <c r="AK71" s="143"/>
      <c r="AL71" s="143"/>
      <c r="AM71" s="143"/>
      <c r="AN71" s="244"/>
      <c r="AO71" s="143"/>
      <c r="AP71" s="143"/>
      <c r="AQ71" s="143"/>
      <c r="AR71" s="143"/>
      <c r="AS71" s="143"/>
      <c r="AT71" s="244"/>
      <c r="AU71" s="143"/>
      <c r="AV71" s="143"/>
      <c r="AW71" s="143"/>
      <c r="AX71" s="143"/>
      <c r="AY71" s="244"/>
      <c r="AZ71" s="143"/>
      <c r="BA71" s="143"/>
      <c r="BB71" s="143"/>
      <c r="BC71" s="143"/>
      <c r="BD71" s="244"/>
      <c r="BE71" s="143"/>
      <c r="BF71" s="143"/>
      <c r="BG71" s="143"/>
      <c r="BH71" s="143"/>
      <c r="BI71" s="143"/>
      <c r="BJ71" s="244"/>
      <c r="BK71" s="143"/>
      <c r="BL71" s="143"/>
      <c r="BM71" s="143"/>
      <c r="BN71" s="143"/>
      <c r="BO71" s="242"/>
      <c r="BP71" s="143">
        <f t="shared" si="17"/>
        <v>0</v>
      </c>
      <c r="BQ71" s="143">
        <f t="shared" si="18"/>
        <v>0</v>
      </c>
      <c r="BR71" s="275">
        <f t="shared" si="19"/>
        <v>0</v>
      </c>
      <c r="BS71" s="246">
        <f aca="true" t="shared" si="20" ref="BS71:BS103">A71</f>
        <v>68</v>
      </c>
      <c r="BT71" s="247">
        <f aca="true" t="shared" si="21" ref="BT71:BT103">B71</f>
        <v>0</v>
      </c>
      <c r="BU71" s="247">
        <f t="shared" si="16"/>
        <v>0</v>
      </c>
    </row>
    <row r="72" spans="1:73" s="166" customFormat="1" ht="13.5">
      <c r="A72" s="246">
        <v>69</v>
      </c>
      <c r="B72"/>
      <c r="C72"/>
      <c r="D72" s="143"/>
      <c r="E72" s="143"/>
      <c r="F72" s="143"/>
      <c r="G72" s="143"/>
      <c r="H72" s="242"/>
      <c r="I72" s="143"/>
      <c r="J72" s="143"/>
      <c r="K72" s="243"/>
      <c r="L72" s="243"/>
      <c r="M72" s="244"/>
      <c r="N72" s="143"/>
      <c r="O72" s="143"/>
      <c r="P72" s="143"/>
      <c r="Q72" s="143"/>
      <c r="R72" s="143"/>
      <c r="S72" s="244"/>
      <c r="T72" s="143"/>
      <c r="U72" s="143"/>
      <c r="V72" s="143"/>
      <c r="W72" s="143"/>
      <c r="X72" s="244"/>
      <c r="Y72" s="143"/>
      <c r="Z72" s="143"/>
      <c r="AA72" s="143"/>
      <c r="AB72" s="143"/>
      <c r="AC72" s="143"/>
      <c r="AD72" s="244"/>
      <c r="AE72" s="143"/>
      <c r="AF72" s="143"/>
      <c r="AG72" s="143"/>
      <c r="AH72" s="143"/>
      <c r="AI72" s="242"/>
      <c r="AJ72" s="143"/>
      <c r="AK72" s="143"/>
      <c r="AL72" s="143"/>
      <c r="AM72" s="143"/>
      <c r="AN72" s="244"/>
      <c r="AO72" s="143"/>
      <c r="AP72" s="143"/>
      <c r="AQ72" s="143"/>
      <c r="AR72" s="143"/>
      <c r="AS72" s="143"/>
      <c r="AT72" s="244"/>
      <c r="AU72" s="143"/>
      <c r="AV72" s="143"/>
      <c r="AW72" s="143"/>
      <c r="AX72" s="143"/>
      <c r="AY72" s="244"/>
      <c r="AZ72" s="143"/>
      <c r="BA72" s="143"/>
      <c r="BB72" s="143"/>
      <c r="BC72" s="143"/>
      <c r="BD72" s="244"/>
      <c r="BE72" s="143"/>
      <c r="BF72" s="143"/>
      <c r="BG72" s="143"/>
      <c r="BH72" s="143"/>
      <c r="BI72" s="143"/>
      <c r="BJ72" s="244"/>
      <c r="BK72" s="143"/>
      <c r="BL72" s="143"/>
      <c r="BM72" s="143"/>
      <c r="BN72" s="143"/>
      <c r="BO72" s="242"/>
      <c r="BP72" s="143">
        <f t="shared" si="17"/>
        <v>0</v>
      </c>
      <c r="BQ72" s="143">
        <f t="shared" si="18"/>
        <v>0</v>
      </c>
      <c r="BR72" s="275">
        <f t="shared" si="19"/>
        <v>0</v>
      </c>
      <c r="BS72" s="246">
        <f t="shared" si="20"/>
        <v>69</v>
      </c>
      <c r="BT72" s="247">
        <f t="shared" si="21"/>
        <v>0</v>
      </c>
      <c r="BU72" s="247">
        <f t="shared" si="16"/>
        <v>0</v>
      </c>
    </row>
    <row r="73" spans="1:73" s="166" customFormat="1" ht="13.5">
      <c r="A73" s="246">
        <v>70</v>
      </c>
      <c r="B73"/>
      <c r="C73"/>
      <c r="D73" s="143"/>
      <c r="E73" s="143"/>
      <c r="F73" s="143"/>
      <c r="G73" s="143"/>
      <c r="H73" s="242"/>
      <c r="I73" s="143"/>
      <c r="J73" s="143"/>
      <c r="K73" s="243"/>
      <c r="L73" s="243"/>
      <c r="M73" s="244"/>
      <c r="N73" s="143"/>
      <c r="O73" s="143"/>
      <c r="P73" s="143"/>
      <c r="Q73" s="143"/>
      <c r="R73" s="143"/>
      <c r="S73" s="244"/>
      <c r="T73" s="143"/>
      <c r="U73" s="143"/>
      <c r="V73" s="143"/>
      <c r="W73" s="143"/>
      <c r="X73" s="244"/>
      <c r="Y73" s="143"/>
      <c r="Z73" s="143"/>
      <c r="AA73" s="143"/>
      <c r="AB73" s="143"/>
      <c r="AC73" s="143"/>
      <c r="AD73" s="244"/>
      <c r="AE73" s="143"/>
      <c r="AF73" s="143"/>
      <c r="AG73" s="143"/>
      <c r="AH73" s="143"/>
      <c r="AI73" s="242"/>
      <c r="AJ73" s="143"/>
      <c r="AK73" s="143"/>
      <c r="AL73" s="143"/>
      <c r="AM73" s="143"/>
      <c r="AN73" s="244"/>
      <c r="AO73" s="143"/>
      <c r="AP73" s="143"/>
      <c r="AQ73" s="143"/>
      <c r="AR73" s="143"/>
      <c r="AS73" s="143"/>
      <c r="AT73" s="244"/>
      <c r="AU73" s="143"/>
      <c r="AV73" s="143"/>
      <c r="AW73" s="143"/>
      <c r="AX73" s="143"/>
      <c r="AY73" s="244"/>
      <c r="AZ73" s="143"/>
      <c r="BA73" s="143"/>
      <c r="BB73" s="143"/>
      <c r="BC73" s="143"/>
      <c r="BD73" s="244"/>
      <c r="BE73" s="143"/>
      <c r="BF73" s="143"/>
      <c r="BG73" s="143"/>
      <c r="BH73" s="143"/>
      <c r="BI73" s="143"/>
      <c r="BJ73" s="244"/>
      <c r="BK73" s="143"/>
      <c r="BL73" s="143"/>
      <c r="BM73" s="143"/>
      <c r="BN73" s="143"/>
      <c r="BO73" s="242"/>
      <c r="BP73" s="143">
        <f t="shared" si="17"/>
        <v>0</v>
      </c>
      <c r="BQ73" s="143">
        <f t="shared" si="18"/>
        <v>0</v>
      </c>
      <c r="BR73" s="275">
        <f t="shared" si="19"/>
        <v>0</v>
      </c>
      <c r="BS73" s="246">
        <f t="shared" si="20"/>
        <v>70</v>
      </c>
      <c r="BT73" s="247">
        <f t="shared" si="21"/>
        <v>0</v>
      </c>
      <c r="BU73" s="247">
        <f t="shared" si="16"/>
        <v>0</v>
      </c>
    </row>
    <row r="74" spans="1:73" s="166" customFormat="1" ht="13.5">
      <c r="A74" s="246">
        <v>71</v>
      </c>
      <c r="B74"/>
      <c r="C74"/>
      <c r="D74" s="143"/>
      <c r="E74" s="143"/>
      <c r="F74" s="143"/>
      <c r="G74" s="143"/>
      <c r="H74" s="242"/>
      <c r="I74" s="143"/>
      <c r="J74" s="143"/>
      <c r="K74" s="243"/>
      <c r="L74" s="243"/>
      <c r="M74" s="244"/>
      <c r="N74" s="143"/>
      <c r="O74" s="143"/>
      <c r="P74" s="143"/>
      <c r="Q74" s="143"/>
      <c r="R74" s="143"/>
      <c r="S74" s="244"/>
      <c r="T74" s="143"/>
      <c r="U74" s="143"/>
      <c r="V74" s="143"/>
      <c r="W74" s="143"/>
      <c r="X74" s="244"/>
      <c r="Y74" s="143"/>
      <c r="Z74" s="143"/>
      <c r="AA74" s="143"/>
      <c r="AB74" s="143"/>
      <c r="AC74" s="143"/>
      <c r="AD74" s="244"/>
      <c r="AE74" s="143"/>
      <c r="AF74" s="143"/>
      <c r="AG74" s="143"/>
      <c r="AH74" s="143"/>
      <c r="AI74" s="242"/>
      <c r="AJ74" s="143"/>
      <c r="AK74" s="143"/>
      <c r="AL74" s="143"/>
      <c r="AM74" s="143"/>
      <c r="AN74" s="244"/>
      <c r="AO74" s="143"/>
      <c r="AP74" s="143"/>
      <c r="AQ74" s="143"/>
      <c r="AR74" s="143"/>
      <c r="AS74" s="143"/>
      <c r="AT74" s="244"/>
      <c r="AU74" s="143"/>
      <c r="AV74" s="143"/>
      <c r="AW74" s="143"/>
      <c r="AX74" s="143"/>
      <c r="AY74" s="244"/>
      <c r="AZ74" s="143"/>
      <c r="BA74" s="143"/>
      <c r="BB74" s="143"/>
      <c r="BC74" s="143"/>
      <c r="BD74" s="244"/>
      <c r="BE74" s="143"/>
      <c r="BF74" s="143"/>
      <c r="BG74" s="143"/>
      <c r="BH74" s="143"/>
      <c r="BI74" s="143"/>
      <c r="BJ74" s="244"/>
      <c r="BK74" s="143"/>
      <c r="BL74" s="143"/>
      <c r="BM74" s="143"/>
      <c r="BN74" s="143"/>
      <c r="BO74" s="242"/>
      <c r="BP74" s="143">
        <f t="shared" si="17"/>
        <v>0</v>
      </c>
      <c r="BQ74" s="143">
        <f t="shared" si="18"/>
        <v>0</v>
      </c>
      <c r="BR74" s="275">
        <f t="shared" si="19"/>
        <v>0</v>
      </c>
      <c r="BS74" s="246">
        <f t="shared" si="20"/>
        <v>71</v>
      </c>
      <c r="BT74" s="247">
        <f t="shared" si="21"/>
        <v>0</v>
      </c>
      <c r="BU74" s="247"/>
    </row>
    <row r="75" spans="1:73" s="166" customFormat="1" ht="13.5">
      <c r="A75" s="246">
        <v>72</v>
      </c>
      <c r="B75"/>
      <c r="C75"/>
      <c r="D75" s="143"/>
      <c r="E75" s="143"/>
      <c r="F75" s="143"/>
      <c r="G75" s="143"/>
      <c r="H75" s="242"/>
      <c r="I75" s="143"/>
      <c r="J75" s="143"/>
      <c r="K75" s="243"/>
      <c r="L75" s="243"/>
      <c r="M75" s="244"/>
      <c r="N75" s="143"/>
      <c r="O75" s="143"/>
      <c r="P75" s="143"/>
      <c r="Q75" s="143"/>
      <c r="R75" s="143"/>
      <c r="S75" s="244"/>
      <c r="T75" s="143"/>
      <c r="U75" s="143"/>
      <c r="V75" s="143"/>
      <c r="W75" s="143"/>
      <c r="X75" s="244"/>
      <c r="Y75" s="143"/>
      <c r="Z75" s="143"/>
      <c r="AA75" s="143"/>
      <c r="AB75" s="143"/>
      <c r="AC75" s="143"/>
      <c r="AD75" s="244"/>
      <c r="AE75" s="143"/>
      <c r="AF75" s="143"/>
      <c r="AG75" s="143"/>
      <c r="AH75" s="143"/>
      <c r="AI75" s="242"/>
      <c r="AJ75" s="143"/>
      <c r="AK75" s="143"/>
      <c r="AL75" s="143"/>
      <c r="AM75" s="143"/>
      <c r="AN75" s="244"/>
      <c r="AO75" s="143"/>
      <c r="AP75" s="143"/>
      <c r="AQ75" s="143"/>
      <c r="AR75" s="143"/>
      <c r="AS75" s="143"/>
      <c r="AT75" s="244"/>
      <c r="AU75" s="143"/>
      <c r="AV75" s="143"/>
      <c r="AW75" s="143"/>
      <c r="AX75" s="143"/>
      <c r="AY75" s="244"/>
      <c r="AZ75" s="143"/>
      <c r="BA75" s="143"/>
      <c r="BB75" s="143"/>
      <c r="BC75" s="143"/>
      <c r="BD75" s="244"/>
      <c r="BE75" s="143"/>
      <c r="BF75" s="143"/>
      <c r="BG75" s="143"/>
      <c r="BH75" s="143"/>
      <c r="BI75" s="143"/>
      <c r="BJ75" s="244"/>
      <c r="BK75" s="143"/>
      <c r="BL75" s="143"/>
      <c r="BM75" s="143"/>
      <c r="BN75" s="143"/>
      <c r="BO75" s="242"/>
      <c r="BP75" s="143">
        <f t="shared" si="17"/>
        <v>0</v>
      </c>
      <c r="BQ75" s="143">
        <f t="shared" si="18"/>
        <v>0</v>
      </c>
      <c r="BR75" s="275">
        <f t="shared" si="19"/>
        <v>0</v>
      </c>
      <c r="BS75" s="246">
        <f t="shared" si="20"/>
        <v>72</v>
      </c>
      <c r="BT75" s="247">
        <f t="shared" si="21"/>
        <v>0</v>
      </c>
      <c r="BU75" s="247">
        <f aca="true" t="shared" si="22" ref="BU75:BU85">C75</f>
        <v>0</v>
      </c>
    </row>
    <row r="76" spans="1:73" s="166" customFormat="1" ht="13.5">
      <c r="A76" s="246">
        <v>73</v>
      </c>
      <c r="B76"/>
      <c r="C76"/>
      <c r="D76" s="143"/>
      <c r="E76" s="143"/>
      <c r="F76" s="143"/>
      <c r="G76" s="143"/>
      <c r="H76" s="242"/>
      <c r="I76" s="143"/>
      <c r="J76" s="143"/>
      <c r="K76" s="243"/>
      <c r="L76" s="243"/>
      <c r="M76" s="244"/>
      <c r="N76" s="143"/>
      <c r="O76" s="143"/>
      <c r="P76" s="143"/>
      <c r="Q76" s="143"/>
      <c r="R76" s="143"/>
      <c r="S76" s="244"/>
      <c r="T76" s="143"/>
      <c r="U76" s="143"/>
      <c r="V76" s="143"/>
      <c r="W76" s="143"/>
      <c r="X76" s="244"/>
      <c r="Y76" s="143"/>
      <c r="Z76" s="143"/>
      <c r="AA76" s="143"/>
      <c r="AB76" s="143"/>
      <c r="AC76" s="143"/>
      <c r="AD76" s="244"/>
      <c r="AE76" s="143"/>
      <c r="AF76" s="143"/>
      <c r="AG76" s="143"/>
      <c r="AH76" s="143"/>
      <c r="AI76" s="242"/>
      <c r="AJ76" s="143"/>
      <c r="AK76" s="143"/>
      <c r="AL76" s="143"/>
      <c r="AM76" s="143"/>
      <c r="AN76" s="244"/>
      <c r="AO76" s="143"/>
      <c r="AP76" s="143"/>
      <c r="AQ76" s="143"/>
      <c r="AR76" s="143"/>
      <c r="AS76" s="143"/>
      <c r="AT76" s="244"/>
      <c r="AU76" s="143"/>
      <c r="AV76" s="143"/>
      <c r="AW76" s="143"/>
      <c r="AX76" s="143"/>
      <c r="AY76" s="244"/>
      <c r="AZ76" s="143"/>
      <c r="BA76" s="143"/>
      <c r="BB76" s="143"/>
      <c r="BC76" s="143"/>
      <c r="BD76" s="244"/>
      <c r="BE76" s="143"/>
      <c r="BF76" s="143"/>
      <c r="BG76" s="143"/>
      <c r="BH76" s="143"/>
      <c r="BI76" s="143"/>
      <c r="BJ76" s="244"/>
      <c r="BK76" s="143"/>
      <c r="BL76" s="143"/>
      <c r="BM76" s="143"/>
      <c r="BN76" s="143"/>
      <c r="BO76" s="242"/>
      <c r="BP76" s="143">
        <f t="shared" si="17"/>
        <v>0</v>
      </c>
      <c r="BQ76" s="143">
        <f t="shared" si="18"/>
        <v>0</v>
      </c>
      <c r="BR76" s="275">
        <f t="shared" si="19"/>
        <v>0</v>
      </c>
      <c r="BS76" s="246">
        <f t="shared" si="20"/>
        <v>73</v>
      </c>
      <c r="BT76" s="247">
        <f t="shared" si="21"/>
        <v>0</v>
      </c>
      <c r="BU76" s="247">
        <f t="shared" si="22"/>
        <v>0</v>
      </c>
    </row>
    <row r="77" spans="1:73" s="166" customFormat="1" ht="13.5">
      <c r="A77" s="246">
        <v>74</v>
      </c>
      <c r="B77"/>
      <c r="C77"/>
      <c r="D77" s="143"/>
      <c r="E77" s="143"/>
      <c r="F77" s="143"/>
      <c r="G77" s="143"/>
      <c r="H77" s="242"/>
      <c r="I77" s="143"/>
      <c r="J77" s="143"/>
      <c r="K77" s="243"/>
      <c r="L77" s="243"/>
      <c r="M77" s="244"/>
      <c r="N77" s="143"/>
      <c r="O77" s="143"/>
      <c r="P77" s="143"/>
      <c r="Q77" s="143"/>
      <c r="R77" s="143"/>
      <c r="S77" s="244"/>
      <c r="T77" s="143"/>
      <c r="U77" s="143"/>
      <c r="V77" s="143"/>
      <c r="W77" s="143"/>
      <c r="X77" s="244"/>
      <c r="Y77" s="143"/>
      <c r="Z77" s="143"/>
      <c r="AA77" s="143"/>
      <c r="AB77" s="143"/>
      <c r="AC77" s="143"/>
      <c r="AD77" s="244"/>
      <c r="AE77" s="143"/>
      <c r="AF77" s="143"/>
      <c r="AG77" s="143"/>
      <c r="AH77" s="143"/>
      <c r="AI77" s="242"/>
      <c r="AJ77" s="143"/>
      <c r="AK77" s="143"/>
      <c r="AL77" s="143"/>
      <c r="AM77" s="143"/>
      <c r="AN77" s="244"/>
      <c r="AO77" s="143"/>
      <c r="AP77" s="143"/>
      <c r="AQ77" s="143"/>
      <c r="AR77" s="143"/>
      <c r="AS77" s="143"/>
      <c r="AT77" s="244"/>
      <c r="AU77" s="143"/>
      <c r="AV77" s="143"/>
      <c r="AW77" s="143"/>
      <c r="AX77" s="143"/>
      <c r="AY77" s="244"/>
      <c r="AZ77" s="143"/>
      <c r="BA77" s="143"/>
      <c r="BB77" s="143"/>
      <c r="BC77" s="143"/>
      <c r="BD77" s="244"/>
      <c r="BE77" s="143"/>
      <c r="BF77" s="143"/>
      <c r="BG77" s="143"/>
      <c r="BH77" s="143"/>
      <c r="BI77" s="143"/>
      <c r="BJ77" s="244"/>
      <c r="BK77" s="143"/>
      <c r="BL77" s="143"/>
      <c r="BM77" s="143"/>
      <c r="BN77" s="143"/>
      <c r="BO77" s="242"/>
      <c r="BP77" s="143">
        <f t="shared" si="17"/>
        <v>0</v>
      </c>
      <c r="BQ77" s="143">
        <f t="shared" si="18"/>
        <v>0</v>
      </c>
      <c r="BR77" s="275">
        <f t="shared" si="19"/>
        <v>0</v>
      </c>
      <c r="BS77" s="246">
        <f t="shared" si="20"/>
        <v>74</v>
      </c>
      <c r="BT77" s="247">
        <f t="shared" si="21"/>
        <v>0</v>
      </c>
      <c r="BU77" s="247">
        <f t="shared" si="22"/>
        <v>0</v>
      </c>
    </row>
    <row r="78" spans="1:73" s="166" customFormat="1" ht="13.5">
      <c r="A78" s="246">
        <v>75</v>
      </c>
      <c r="B78"/>
      <c r="C78"/>
      <c r="D78" s="143"/>
      <c r="E78" s="143"/>
      <c r="F78" s="143"/>
      <c r="G78" s="143"/>
      <c r="H78" s="242"/>
      <c r="I78" s="143"/>
      <c r="J78" s="143"/>
      <c r="K78" s="243"/>
      <c r="L78" s="243"/>
      <c r="M78" s="244"/>
      <c r="N78" s="143"/>
      <c r="O78" s="143"/>
      <c r="P78" s="143"/>
      <c r="Q78" s="143"/>
      <c r="R78" s="143"/>
      <c r="S78" s="244"/>
      <c r="T78" s="143"/>
      <c r="U78" s="143"/>
      <c r="V78" s="143"/>
      <c r="W78" s="143"/>
      <c r="X78" s="244"/>
      <c r="Y78" s="143"/>
      <c r="Z78" s="143"/>
      <c r="AA78" s="143"/>
      <c r="AB78" s="143"/>
      <c r="AC78" s="143"/>
      <c r="AD78" s="244"/>
      <c r="AE78" s="143"/>
      <c r="AF78" s="143"/>
      <c r="AG78" s="143"/>
      <c r="AH78" s="143"/>
      <c r="AI78" s="242"/>
      <c r="AJ78" s="143"/>
      <c r="AK78" s="143"/>
      <c r="AL78" s="143"/>
      <c r="AM78" s="143"/>
      <c r="AN78" s="244"/>
      <c r="AO78" s="143"/>
      <c r="AP78" s="143"/>
      <c r="AQ78" s="143"/>
      <c r="AR78" s="143"/>
      <c r="AS78" s="143"/>
      <c r="AT78" s="244"/>
      <c r="AU78" s="143"/>
      <c r="AV78" s="143"/>
      <c r="AW78" s="143"/>
      <c r="AX78" s="143"/>
      <c r="AY78" s="244"/>
      <c r="AZ78" s="143"/>
      <c r="BA78" s="143"/>
      <c r="BB78" s="143"/>
      <c r="BC78" s="143"/>
      <c r="BD78" s="244"/>
      <c r="BE78" s="143"/>
      <c r="BF78" s="143"/>
      <c r="BG78" s="143"/>
      <c r="BH78" s="143"/>
      <c r="BI78" s="143"/>
      <c r="BJ78" s="244"/>
      <c r="BK78" s="143"/>
      <c r="BL78" s="143"/>
      <c r="BM78" s="143"/>
      <c r="BN78" s="143"/>
      <c r="BO78" s="242"/>
      <c r="BP78" s="143">
        <f t="shared" si="17"/>
        <v>0</v>
      </c>
      <c r="BQ78" s="143">
        <f t="shared" si="18"/>
        <v>0</v>
      </c>
      <c r="BR78" s="275">
        <f t="shared" si="19"/>
        <v>0</v>
      </c>
      <c r="BS78" s="246">
        <f t="shared" si="20"/>
        <v>75</v>
      </c>
      <c r="BT78" s="247">
        <f t="shared" si="21"/>
        <v>0</v>
      </c>
      <c r="BU78" s="247">
        <f t="shared" si="22"/>
        <v>0</v>
      </c>
    </row>
    <row r="79" spans="1:73" s="166" customFormat="1" ht="13.5">
      <c r="A79" s="246">
        <v>76</v>
      </c>
      <c r="B79"/>
      <c r="C79"/>
      <c r="D79" s="143"/>
      <c r="E79" s="143"/>
      <c r="F79" s="143"/>
      <c r="G79" s="143"/>
      <c r="H79" s="242"/>
      <c r="I79" s="143"/>
      <c r="J79" s="143"/>
      <c r="K79" s="243"/>
      <c r="L79" s="243"/>
      <c r="M79" s="244"/>
      <c r="N79" s="143"/>
      <c r="O79" s="143"/>
      <c r="P79" s="143"/>
      <c r="Q79" s="143"/>
      <c r="R79" s="143"/>
      <c r="S79" s="244"/>
      <c r="T79" s="143"/>
      <c r="U79" s="143"/>
      <c r="V79" s="143"/>
      <c r="W79" s="143"/>
      <c r="X79" s="244"/>
      <c r="Y79" s="143"/>
      <c r="Z79" s="143"/>
      <c r="AA79" s="143"/>
      <c r="AB79" s="143"/>
      <c r="AC79" s="143"/>
      <c r="AD79" s="244"/>
      <c r="AE79" s="143"/>
      <c r="AF79" s="143"/>
      <c r="AG79" s="143"/>
      <c r="AH79" s="143"/>
      <c r="AI79" s="242"/>
      <c r="AJ79" s="143"/>
      <c r="AK79" s="143"/>
      <c r="AL79" s="143"/>
      <c r="AM79" s="143"/>
      <c r="AN79" s="244"/>
      <c r="AO79" s="143"/>
      <c r="AP79" s="143"/>
      <c r="AQ79" s="143"/>
      <c r="AR79" s="143"/>
      <c r="AS79" s="143"/>
      <c r="AT79" s="244"/>
      <c r="AU79" s="143"/>
      <c r="AV79" s="143"/>
      <c r="AW79" s="143"/>
      <c r="AX79" s="143"/>
      <c r="AY79" s="244"/>
      <c r="AZ79" s="143"/>
      <c r="BA79" s="143"/>
      <c r="BB79" s="143"/>
      <c r="BC79" s="143"/>
      <c r="BD79" s="244"/>
      <c r="BE79" s="143"/>
      <c r="BF79" s="143"/>
      <c r="BG79" s="143"/>
      <c r="BH79" s="143"/>
      <c r="BI79" s="143"/>
      <c r="BJ79" s="244"/>
      <c r="BK79" s="143"/>
      <c r="BL79" s="143"/>
      <c r="BM79" s="143"/>
      <c r="BN79" s="143"/>
      <c r="BO79" s="242"/>
      <c r="BP79" s="143">
        <f t="shared" si="17"/>
        <v>0</v>
      </c>
      <c r="BQ79" s="143">
        <f t="shared" si="18"/>
        <v>0</v>
      </c>
      <c r="BR79" s="275">
        <f t="shared" si="19"/>
        <v>0</v>
      </c>
      <c r="BS79" s="246">
        <f t="shared" si="20"/>
        <v>76</v>
      </c>
      <c r="BT79" s="247">
        <f t="shared" si="21"/>
        <v>0</v>
      </c>
      <c r="BU79" s="247">
        <f t="shared" si="22"/>
        <v>0</v>
      </c>
    </row>
    <row r="80" spans="1:73" s="166" customFormat="1" ht="13.5">
      <c r="A80" s="246">
        <v>77</v>
      </c>
      <c r="B80"/>
      <c r="C80"/>
      <c r="D80" s="143"/>
      <c r="E80" s="143"/>
      <c r="F80" s="143"/>
      <c r="G80" s="143"/>
      <c r="H80" s="242"/>
      <c r="I80" s="143"/>
      <c r="J80" s="143"/>
      <c r="K80" s="243"/>
      <c r="L80" s="243"/>
      <c r="M80" s="244"/>
      <c r="N80" s="143"/>
      <c r="O80" s="143"/>
      <c r="P80" s="143"/>
      <c r="Q80" s="143"/>
      <c r="R80" s="143"/>
      <c r="S80" s="244"/>
      <c r="T80" s="143"/>
      <c r="U80" s="143"/>
      <c r="V80" s="143"/>
      <c r="W80" s="143"/>
      <c r="X80" s="244"/>
      <c r="Y80" s="143"/>
      <c r="Z80" s="143"/>
      <c r="AA80" s="143"/>
      <c r="AB80" s="143"/>
      <c r="AC80" s="143"/>
      <c r="AD80" s="244"/>
      <c r="AE80" s="143"/>
      <c r="AF80" s="143"/>
      <c r="AG80" s="143"/>
      <c r="AH80" s="143"/>
      <c r="AI80" s="242"/>
      <c r="AJ80" s="143"/>
      <c r="AK80" s="143"/>
      <c r="AL80" s="143"/>
      <c r="AM80" s="143"/>
      <c r="AN80" s="244"/>
      <c r="AO80" s="143"/>
      <c r="AP80" s="143"/>
      <c r="AQ80" s="143"/>
      <c r="AR80" s="143"/>
      <c r="AS80" s="143"/>
      <c r="AT80" s="244"/>
      <c r="AU80" s="143"/>
      <c r="AV80" s="143"/>
      <c r="AW80" s="143"/>
      <c r="AX80" s="143"/>
      <c r="AY80" s="244"/>
      <c r="AZ80" s="143"/>
      <c r="BA80" s="143"/>
      <c r="BB80" s="143"/>
      <c r="BC80" s="143"/>
      <c r="BD80" s="244"/>
      <c r="BE80" s="143"/>
      <c r="BF80" s="143"/>
      <c r="BG80" s="143"/>
      <c r="BH80" s="143"/>
      <c r="BI80" s="143"/>
      <c r="BJ80" s="244"/>
      <c r="BK80" s="143"/>
      <c r="BL80" s="143"/>
      <c r="BM80" s="143"/>
      <c r="BN80" s="143"/>
      <c r="BO80" s="242"/>
      <c r="BP80" s="143">
        <f t="shared" si="17"/>
        <v>0</v>
      </c>
      <c r="BQ80" s="143">
        <f t="shared" si="18"/>
        <v>0</v>
      </c>
      <c r="BR80" s="275">
        <f t="shared" si="19"/>
        <v>0</v>
      </c>
      <c r="BS80" s="246">
        <f t="shared" si="20"/>
        <v>77</v>
      </c>
      <c r="BT80" s="247">
        <f t="shared" si="21"/>
        <v>0</v>
      </c>
      <c r="BU80" s="247">
        <f t="shared" si="22"/>
        <v>0</v>
      </c>
    </row>
    <row r="81" spans="1:73" s="166" customFormat="1" ht="13.5">
      <c r="A81" s="246">
        <v>78</v>
      </c>
      <c r="B81"/>
      <c r="C81"/>
      <c r="D81" s="143"/>
      <c r="E81" s="143"/>
      <c r="F81" s="143"/>
      <c r="G81" s="143"/>
      <c r="H81" s="242"/>
      <c r="I81" s="143"/>
      <c r="J81" s="143"/>
      <c r="K81" s="243"/>
      <c r="L81" s="243"/>
      <c r="M81" s="244"/>
      <c r="N81" s="143"/>
      <c r="O81" s="143"/>
      <c r="P81" s="143"/>
      <c r="Q81" s="143"/>
      <c r="R81" s="143"/>
      <c r="S81" s="244"/>
      <c r="T81" s="143"/>
      <c r="U81" s="143"/>
      <c r="V81" s="143"/>
      <c r="W81" s="143"/>
      <c r="X81" s="244"/>
      <c r="Y81" s="143"/>
      <c r="Z81" s="143"/>
      <c r="AA81" s="143"/>
      <c r="AB81" s="143"/>
      <c r="AC81" s="143"/>
      <c r="AD81" s="244"/>
      <c r="AE81" s="143"/>
      <c r="AF81" s="143"/>
      <c r="AG81" s="143"/>
      <c r="AH81" s="143"/>
      <c r="AI81" s="242"/>
      <c r="AJ81" s="143"/>
      <c r="AK81" s="143"/>
      <c r="AL81" s="143"/>
      <c r="AM81" s="143"/>
      <c r="AN81" s="244"/>
      <c r="AO81" s="143"/>
      <c r="AP81" s="143"/>
      <c r="AQ81" s="143"/>
      <c r="AR81" s="143"/>
      <c r="AS81" s="143"/>
      <c r="AT81" s="244"/>
      <c r="AU81" s="143"/>
      <c r="AV81" s="143"/>
      <c r="AW81" s="143"/>
      <c r="AX81" s="143"/>
      <c r="AY81" s="244"/>
      <c r="AZ81" s="143"/>
      <c r="BA81" s="143"/>
      <c r="BB81" s="143"/>
      <c r="BC81" s="143"/>
      <c r="BD81" s="244"/>
      <c r="BE81" s="143"/>
      <c r="BF81" s="143"/>
      <c r="BG81" s="250"/>
      <c r="BH81" s="143"/>
      <c r="BI81" s="143"/>
      <c r="BJ81" s="244"/>
      <c r="BK81" s="143"/>
      <c r="BL81" s="143"/>
      <c r="BM81" s="143"/>
      <c r="BN81" s="143"/>
      <c r="BO81" s="242"/>
      <c r="BP81" s="143">
        <f t="shared" si="17"/>
        <v>0</v>
      </c>
      <c r="BQ81" s="143">
        <f t="shared" si="18"/>
        <v>0</v>
      </c>
      <c r="BR81" s="275">
        <f t="shared" si="19"/>
        <v>0</v>
      </c>
      <c r="BS81" s="246">
        <f t="shared" si="20"/>
        <v>78</v>
      </c>
      <c r="BT81" s="247">
        <f t="shared" si="21"/>
        <v>0</v>
      </c>
      <c r="BU81" s="247">
        <f t="shared" si="22"/>
        <v>0</v>
      </c>
    </row>
    <row r="82" spans="1:73" s="166" customFormat="1" ht="13.5">
      <c r="A82" s="246">
        <v>79</v>
      </c>
      <c r="B82"/>
      <c r="C82"/>
      <c r="D82" s="143"/>
      <c r="E82" s="143"/>
      <c r="F82" s="143"/>
      <c r="G82" s="143"/>
      <c r="H82" s="242"/>
      <c r="I82" s="143"/>
      <c r="J82" s="143"/>
      <c r="K82" s="243"/>
      <c r="L82" s="243"/>
      <c r="M82" s="244"/>
      <c r="N82" s="143"/>
      <c r="O82" s="143"/>
      <c r="P82" s="143"/>
      <c r="Q82" s="143"/>
      <c r="R82" s="143"/>
      <c r="S82" s="244"/>
      <c r="T82" s="143"/>
      <c r="U82" s="143"/>
      <c r="V82" s="143"/>
      <c r="W82" s="143"/>
      <c r="X82" s="244"/>
      <c r="Y82" s="143"/>
      <c r="Z82" s="143"/>
      <c r="AA82" s="143"/>
      <c r="AB82" s="143"/>
      <c r="AC82" s="143"/>
      <c r="AD82" s="244"/>
      <c r="AE82" s="143"/>
      <c r="AF82" s="143"/>
      <c r="AG82" s="143"/>
      <c r="AH82" s="143"/>
      <c r="AI82" s="242"/>
      <c r="AJ82" s="143"/>
      <c r="AK82" s="143"/>
      <c r="AL82" s="143"/>
      <c r="AM82" s="143"/>
      <c r="AN82" s="244"/>
      <c r="AO82" s="143"/>
      <c r="AP82" s="143"/>
      <c r="AQ82" s="143"/>
      <c r="AR82" s="143"/>
      <c r="AS82" s="143"/>
      <c r="AT82" s="244"/>
      <c r="AU82" s="143"/>
      <c r="AV82" s="143"/>
      <c r="AW82" s="143"/>
      <c r="AX82" s="143"/>
      <c r="AY82" s="244"/>
      <c r="AZ82" s="143"/>
      <c r="BA82" s="143"/>
      <c r="BB82" s="143"/>
      <c r="BC82" s="143"/>
      <c r="BD82" s="244"/>
      <c r="BE82" s="143"/>
      <c r="BF82" s="143"/>
      <c r="BG82" s="143"/>
      <c r="BH82" s="143"/>
      <c r="BI82" s="143"/>
      <c r="BJ82" s="244"/>
      <c r="BK82" s="143"/>
      <c r="BL82" s="143"/>
      <c r="BM82" s="143"/>
      <c r="BN82" s="143"/>
      <c r="BO82" s="242"/>
      <c r="BP82" s="143">
        <f t="shared" si="17"/>
        <v>0</v>
      </c>
      <c r="BQ82" s="143">
        <f t="shared" si="18"/>
        <v>0</v>
      </c>
      <c r="BR82" s="275">
        <f t="shared" si="19"/>
        <v>0</v>
      </c>
      <c r="BS82" s="246">
        <f t="shared" si="20"/>
        <v>79</v>
      </c>
      <c r="BT82" s="247">
        <f t="shared" si="21"/>
        <v>0</v>
      </c>
      <c r="BU82" s="247">
        <f t="shared" si="22"/>
        <v>0</v>
      </c>
    </row>
    <row r="83" spans="1:73" s="166" customFormat="1" ht="13.5">
      <c r="A83" s="246">
        <v>80</v>
      </c>
      <c r="B83"/>
      <c r="C83"/>
      <c r="D83" s="143"/>
      <c r="E83" s="143"/>
      <c r="F83" s="143"/>
      <c r="G83" s="143"/>
      <c r="H83" s="242"/>
      <c r="I83" s="143"/>
      <c r="J83" s="143"/>
      <c r="K83" s="243"/>
      <c r="L83" s="243"/>
      <c r="M83" s="244"/>
      <c r="N83" s="143"/>
      <c r="O83" s="143"/>
      <c r="P83" s="143"/>
      <c r="Q83" s="143"/>
      <c r="R83" s="143"/>
      <c r="S83" s="244"/>
      <c r="T83" s="143"/>
      <c r="U83" s="143"/>
      <c r="V83" s="143"/>
      <c r="W83" s="143"/>
      <c r="X83" s="244"/>
      <c r="Y83" s="143"/>
      <c r="Z83" s="143"/>
      <c r="AA83" s="143"/>
      <c r="AB83" s="143"/>
      <c r="AC83" s="143"/>
      <c r="AD83" s="244"/>
      <c r="AE83" s="143"/>
      <c r="AF83" s="143"/>
      <c r="AG83" s="143"/>
      <c r="AH83" s="143"/>
      <c r="AI83" s="242"/>
      <c r="AJ83" s="143"/>
      <c r="AK83" s="143"/>
      <c r="AL83" s="143"/>
      <c r="AM83" s="143"/>
      <c r="AN83" s="244"/>
      <c r="AO83" s="143"/>
      <c r="AP83" s="143"/>
      <c r="AQ83" s="143"/>
      <c r="AR83" s="143"/>
      <c r="AS83" s="143"/>
      <c r="AT83" s="244"/>
      <c r="AU83" s="143"/>
      <c r="AV83" s="143"/>
      <c r="AW83" s="143"/>
      <c r="AX83" s="143"/>
      <c r="AY83" s="244"/>
      <c r="AZ83" s="143"/>
      <c r="BA83" s="143"/>
      <c r="BB83" s="143"/>
      <c r="BC83" s="143"/>
      <c r="BD83" s="244"/>
      <c r="BE83" s="143"/>
      <c r="BF83" s="143"/>
      <c r="BG83" s="143"/>
      <c r="BH83" s="143"/>
      <c r="BI83" s="143"/>
      <c r="BJ83" s="244"/>
      <c r="BK83" s="143"/>
      <c r="BL83" s="143"/>
      <c r="BM83" s="143"/>
      <c r="BN83" s="143"/>
      <c r="BO83" s="242"/>
      <c r="BP83" s="143">
        <f t="shared" si="17"/>
        <v>0</v>
      </c>
      <c r="BQ83" s="143">
        <f t="shared" si="18"/>
        <v>0</v>
      </c>
      <c r="BR83" s="275">
        <f t="shared" si="19"/>
        <v>0</v>
      </c>
      <c r="BS83" s="246">
        <f t="shared" si="20"/>
        <v>80</v>
      </c>
      <c r="BT83" s="247">
        <f t="shared" si="21"/>
        <v>0</v>
      </c>
      <c r="BU83" s="247">
        <f t="shared" si="22"/>
        <v>0</v>
      </c>
    </row>
    <row r="84" spans="1:73" s="166" customFormat="1" ht="13.5">
      <c r="A84" s="246">
        <v>81</v>
      </c>
      <c r="B84"/>
      <c r="C84"/>
      <c r="D84" s="143"/>
      <c r="E84" s="143"/>
      <c r="F84" s="143"/>
      <c r="G84" s="143"/>
      <c r="H84" s="242"/>
      <c r="I84" s="143"/>
      <c r="J84" s="143"/>
      <c r="K84" s="243"/>
      <c r="L84" s="243"/>
      <c r="M84" s="244"/>
      <c r="N84" s="143"/>
      <c r="O84" s="143"/>
      <c r="P84" s="143"/>
      <c r="Q84" s="143"/>
      <c r="R84" s="143"/>
      <c r="S84" s="244"/>
      <c r="T84" s="143"/>
      <c r="U84" s="143"/>
      <c r="V84" s="143"/>
      <c r="W84" s="143"/>
      <c r="X84" s="244"/>
      <c r="Y84" s="143"/>
      <c r="Z84" s="143"/>
      <c r="AA84" s="143"/>
      <c r="AB84" s="143"/>
      <c r="AC84" s="143"/>
      <c r="AD84" s="244"/>
      <c r="AE84" s="143"/>
      <c r="AF84" s="143"/>
      <c r="AG84" s="143"/>
      <c r="AH84" s="143"/>
      <c r="AI84" s="242"/>
      <c r="AJ84" s="143"/>
      <c r="AK84" s="143"/>
      <c r="AL84" s="143"/>
      <c r="AM84" s="143"/>
      <c r="AN84" s="244"/>
      <c r="AO84" s="143"/>
      <c r="AP84" s="143"/>
      <c r="AQ84" s="143"/>
      <c r="AR84" s="143"/>
      <c r="AS84" s="143"/>
      <c r="AT84" s="244"/>
      <c r="AU84" s="143"/>
      <c r="AV84" s="143"/>
      <c r="AW84" s="143"/>
      <c r="AX84" s="143"/>
      <c r="AY84" s="244"/>
      <c r="AZ84" s="143"/>
      <c r="BA84" s="143"/>
      <c r="BB84" s="143"/>
      <c r="BC84" s="143"/>
      <c r="BD84" s="244"/>
      <c r="BE84" s="143"/>
      <c r="BF84" s="143"/>
      <c r="BG84" s="143"/>
      <c r="BH84" s="143"/>
      <c r="BI84" s="143"/>
      <c r="BJ84" s="244"/>
      <c r="BK84" s="143"/>
      <c r="BL84" s="143"/>
      <c r="BM84" s="143"/>
      <c r="BN84" s="143"/>
      <c r="BO84" s="242"/>
      <c r="BP84" s="143">
        <f t="shared" si="17"/>
        <v>0</v>
      </c>
      <c r="BQ84" s="143">
        <f t="shared" si="18"/>
        <v>0</v>
      </c>
      <c r="BR84" s="275">
        <f t="shared" si="19"/>
        <v>0</v>
      </c>
      <c r="BS84" s="246">
        <f t="shared" si="20"/>
        <v>81</v>
      </c>
      <c r="BT84" s="247">
        <f t="shared" si="21"/>
        <v>0</v>
      </c>
      <c r="BU84" s="247">
        <f t="shared" si="22"/>
        <v>0</v>
      </c>
    </row>
    <row r="85" spans="1:73" s="166" customFormat="1" ht="13.5">
      <c r="A85" s="246">
        <v>82</v>
      </c>
      <c r="B85"/>
      <c r="C85"/>
      <c r="D85" s="143"/>
      <c r="E85" s="143"/>
      <c r="F85" s="143"/>
      <c r="G85" s="143"/>
      <c r="H85" s="242"/>
      <c r="I85" s="143"/>
      <c r="J85" s="143"/>
      <c r="K85" s="243"/>
      <c r="L85" s="243"/>
      <c r="M85" s="244"/>
      <c r="N85" s="143"/>
      <c r="O85" s="143"/>
      <c r="P85" s="143"/>
      <c r="Q85" s="143"/>
      <c r="R85" s="143"/>
      <c r="S85" s="244"/>
      <c r="T85" s="143"/>
      <c r="U85" s="143"/>
      <c r="V85" s="143"/>
      <c r="W85" s="143"/>
      <c r="X85" s="244"/>
      <c r="Y85" s="143"/>
      <c r="Z85" s="143"/>
      <c r="AA85" s="143"/>
      <c r="AB85" s="143"/>
      <c r="AC85" s="143"/>
      <c r="AD85" s="244"/>
      <c r="AE85" s="143"/>
      <c r="AF85" s="143"/>
      <c r="AG85" s="143"/>
      <c r="AH85" s="143"/>
      <c r="AI85" s="242"/>
      <c r="AJ85" s="143"/>
      <c r="AK85" s="143"/>
      <c r="AL85" s="143"/>
      <c r="AM85" s="143"/>
      <c r="AN85" s="244"/>
      <c r="AO85" s="143"/>
      <c r="AP85" s="143"/>
      <c r="AQ85" s="143"/>
      <c r="AR85" s="143"/>
      <c r="AS85" s="143"/>
      <c r="AT85" s="244"/>
      <c r="AU85" s="143"/>
      <c r="AV85" s="143"/>
      <c r="AW85" s="143"/>
      <c r="AX85" s="143"/>
      <c r="AY85" s="244"/>
      <c r="AZ85" s="143"/>
      <c r="BA85" s="143"/>
      <c r="BB85" s="143"/>
      <c r="BC85" s="143"/>
      <c r="BD85" s="244"/>
      <c r="BE85" s="143"/>
      <c r="BF85" s="143"/>
      <c r="BG85" s="143"/>
      <c r="BH85" s="143"/>
      <c r="BI85" s="143"/>
      <c r="BJ85" s="244"/>
      <c r="BK85" s="143"/>
      <c r="BL85" s="143"/>
      <c r="BM85" s="143"/>
      <c r="BN85" s="143"/>
      <c r="BO85" s="242"/>
      <c r="BP85" s="143">
        <f t="shared" si="17"/>
        <v>0</v>
      </c>
      <c r="BQ85" s="143">
        <f t="shared" si="18"/>
        <v>0</v>
      </c>
      <c r="BR85" s="275">
        <f t="shared" si="19"/>
        <v>0</v>
      </c>
      <c r="BS85" s="246">
        <f t="shared" si="20"/>
        <v>82</v>
      </c>
      <c r="BT85" s="247">
        <f t="shared" si="21"/>
        <v>0</v>
      </c>
      <c r="BU85" s="247">
        <f t="shared" si="22"/>
        <v>0</v>
      </c>
    </row>
    <row r="86" spans="1:73" s="166" customFormat="1" ht="13.5">
      <c r="A86" s="246">
        <v>83</v>
      </c>
      <c r="B86"/>
      <c r="C86"/>
      <c r="D86" s="143"/>
      <c r="E86" s="143"/>
      <c r="F86" s="143"/>
      <c r="G86" s="143"/>
      <c r="H86" s="242"/>
      <c r="I86" s="143"/>
      <c r="J86" s="143"/>
      <c r="K86" s="243"/>
      <c r="L86" s="243"/>
      <c r="M86" s="244"/>
      <c r="N86" s="143"/>
      <c r="O86" s="143"/>
      <c r="P86" s="143"/>
      <c r="Q86" s="143"/>
      <c r="R86" s="143"/>
      <c r="S86" s="244"/>
      <c r="T86" s="143"/>
      <c r="U86" s="143"/>
      <c r="V86" s="143"/>
      <c r="W86" s="143"/>
      <c r="X86" s="244"/>
      <c r="Y86" s="143"/>
      <c r="Z86" s="143"/>
      <c r="AA86" s="143"/>
      <c r="AB86" s="143"/>
      <c r="AC86" s="143"/>
      <c r="AD86" s="244"/>
      <c r="AE86" s="143"/>
      <c r="AF86" s="143"/>
      <c r="AG86" s="143"/>
      <c r="AH86" s="143"/>
      <c r="AI86" s="242"/>
      <c r="AJ86" s="143"/>
      <c r="AK86" s="143"/>
      <c r="AL86" s="143"/>
      <c r="AM86" s="143"/>
      <c r="AN86" s="244"/>
      <c r="AO86" s="143"/>
      <c r="AP86" s="143"/>
      <c r="AQ86" s="143"/>
      <c r="AR86" s="143"/>
      <c r="AS86" s="143"/>
      <c r="AT86" s="244"/>
      <c r="AU86" s="143"/>
      <c r="AV86" s="143"/>
      <c r="AW86" s="143"/>
      <c r="AX86" s="143"/>
      <c r="AY86" s="244"/>
      <c r="AZ86" s="143"/>
      <c r="BA86" s="143"/>
      <c r="BB86" s="143"/>
      <c r="BC86" s="143"/>
      <c r="BD86" s="244"/>
      <c r="BE86" s="143"/>
      <c r="BF86" s="143"/>
      <c r="BG86" s="143"/>
      <c r="BH86" s="143"/>
      <c r="BI86" s="143"/>
      <c r="BJ86" s="244"/>
      <c r="BK86" s="143"/>
      <c r="BL86" s="143"/>
      <c r="BM86" s="143"/>
      <c r="BN86" s="143"/>
      <c r="BO86" s="242"/>
      <c r="BP86" s="143">
        <f t="shared" si="17"/>
        <v>0</v>
      </c>
      <c r="BQ86" s="143">
        <f t="shared" si="18"/>
        <v>0</v>
      </c>
      <c r="BR86" s="275">
        <f t="shared" si="19"/>
        <v>0</v>
      </c>
      <c r="BS86" s="246">
        <f t="shared" si="20"/>
        <v>83</v>
      </c>
      <c r="BT86" s="247">
        <f t="shared" si="21"/>
        <v>0</v>
      </c>
      <c r="BU86" s="247"/>
    </row>
    <row r="87" spans="1:73" s="166" customFormat="1" ht="13.5">
      <c r="A87" s="246">
        <v>84</v>
      </c>
      <c r="B87"/>
      <c r="C87"/>
      <c r="D87" s="143"/>
      <c r="E87" s="143"/>
      <c r="F87" s="143"/>
      <c r="G87" s="143"/>
      <c r="H87" s="242"/>
      <c r="I87" s="143"/>
      <c r="J87" s="143"/>
      <c r="K87" s="243"/>
      <c r="L87" s="243"/>
      <c r="M87" s="244"/>
      <c r="N87" s="143"/>
      <c r="O87" s="143"/>
      <c r="P87" s="143"/>
      <c r="Q87" s="143"/>
      <c r="R87" s="143"/>
      <c r="S87" s="244"/>
      <c r="T87" s="143"/>
      <c r="U87" s="143"/>
      <c r="V87" s="143"/>
      <c r="W87" s="143"/>
      <c r="X87" s="244"/>
      <c r="Y87" s="143"/>
      <c r="Z87" s="143"/>
      <c r="AA87" s="143"/>
      <c r="AB87" s="143"/>
      <c r="AC87" s="143"/>
      <c r="AD87" s="244"/>
      <c r="AE87" s="143"/>
      <c r="AF87" s="143"/>
      <c r="AG87" s="143"/>
      <c r="AH87" s="143"/>
      <c r="AI87" s="242"/>
      <c r="AJ87" s="143"/>
      <c r="AK87" s="143"/>
      <c r="AL87" s="143"/>
      <c r="AM87" s="143"/>
      <c r="AN87" s="244"/>
      <c r="AO87" s="143"/>
      <c r="AP87" s="143"/>
      <c r="AQ87" s="143"/>
      <c r="AR87" s="143"/>
      <c r="AS87" s="143"/>
      <c r="AT87" s="244"/>
      <c r="AU87" s="143"/>
      <c r="AV87" s="143"/>
      <c r="AW87" s="143"/>
      <c r="AX87" s="143"/>
      <c r="AY87" s="244"/>
      <c r="AZ87" s="143"/>
      <c r="BA87" s="143"/>
      <c r="BB87" s="143"/>
      <c r="BC87" s="143"/>
      <c r="BD87" s="244"/>
      <c r="BE87" s="143"/>
      <c r="BF87" s="143"/>
      <c r="BG87" s="143"/>
      <c r="BH87" s="143"/>
      <c r="BI87" s="143"/>
      <c r="BJ87" s="244"/>
      <c r="BK87" s="143"/>
      <c r="BL87" s="143"/>
      <c r="BM87" s="143"/>
      <c r="BN87" s="143"/>
      <c r="BO87" s="242"/>
      <c r="BP87" s="143">
        <f t="shared" si="17"/>
        <v>0</v>
      </c>
      <c r="BQ87" s="143">
        <f t="shared" si="18"/>
        <v>0</v>
      </c>
      <c r="BR87" s="275">
        <f t="shared" si="19"/>
        <v>0</v>
      </c>
      <c r="BS87" s="246">
        <f t="shared" si="20"/>
        <v>84</v>
      </c>
      <c r="BT87" s="247">
        <f t="shared" si="21"/>
        <v>0</v>
      </c>
      <c r="BU87" s="247">
        <f aca="true" t="shared" si="23" ref="BU87:BU95">C87</f>
        <v>0</v>
      </c>
    </row>
    <row r="88" spans="1:73" s="166" customFormat="1" ht="13.5">
      <c r="A88" s="246">
        <v>85</v>
      </c>
      <c r="B88"/>
      <c r="C88"/>
      <c r="D88" s="143"/>
      <c r="E88" s="143"/>
      <c r="F88" s="143"/>
      <c r="G88" s="143"/>
      <c r="H88" s="242"/>
      <c r="I88" s="143"/>
      <c r="J88" s="143"/>
      <c r="K88" s="243"/>
      <c r="L88" s="243"/>
      <c r="M88" s="244"/>
      <c r="N88" s="143"/>
      <c r="O88" s="143"/>
      <c r="P88" s="143"/>
      <c r="Q88" s="143"/>
      <c r="R88" s="143"/>
      <c r="S88" s="244"/>
      <c r="T88" s="143"/>
      <c r="U88" s="143"/>
      <c r="V88" s="143"/>
      <c r="W88" s="143"/>
      <c r="X88" s="244"/>
      <c r="Y88" s="143"/>
      <c r="Z88" s="143"/>
      <c r="AA88" s="143"/>
      <c r="AB88" s="143"/>
      <c r="AC88" s="143"/>
      <c r="AD88" s="244"/>
      <c r="AE88" s="143"/>
      <c r="AF88" s="143"/>
      <c r="AG88" s="143"/>
      <c r="AH88" s="143"/>
      <c r="AI88" s="242"/>
      <c r="AJ88" s="143"/>
      <c r="AK88" s="143"/>
      <c r="AL88" s="143"/>
      <c r="AM88" s="143"/>
      <c r="AN88" s="244"/>
      <c r="AO88" s="143"/>
      <c r="AP88" s="143"/>
      <c r="AQ88" s="143"/>
      <c r="AR88" s="143"/>
      <c r="AS88" s="143"/>
      <c r="AT88" s="244"/>
      <c r="AU88" s="143"/>
      <c r="AV88" s="143"/>
      <c r="AW88" s="143"/>
      <c r="AX88" s="143"/>
      <c r="AY88" s="244"/>
      <c r="AZ88" s="143"/>
      <c r="BA88" s="143"/>
      <c r="BB88" s="143"/>
      <c r="BC88" s="143"/>
      <c r="BD88" s="244"/>
      <c r="BE88" s="143"/>
      <c r="BF88" s="143"/>
      <c r="BG88" s="143"/>
      <c r="BH88" s="143"/>
      <c r="BI88" s="143"/>
      <c r="BJ88" s="244"/>
      <c r="BK88" s="143"/>
      <c r="BL88" s="143"/>
      <c r="BM88" s="143"/>
      <c r="BN88" s="143"/>
      <c r="BO88" s="242"/>
      <c r="BP88" s="143">
        <f t="shared" si="17"/>
        <v>0</v>
      </c>
      <c r="BQ88" s="143">
        <f t="shared" si="18"/>
        <v>0</v>
      </c>
      <c r="BR88" s="275">
        <f t="shared" si="19"/>
        <v>0</v>
      </c>
      <c r="BS88" s="246">
        <f t="shared" si="20"/>
        <v>85</v>
      </c>
      <c r="BT88" s="247">
        <f t="shared" si="21"/>
        <v>0</v>
      </c>
      <c r="BU88" s="247">
        <f t="shared" si="23"/>
        <v>0</v>
      </c>
    </row>
    <row r="89" spans="1:73" s="166" customFormat="1" ht="13.5">
      <c r="A89" s="246">
        <v>86</v>
      </c>
      <c r="B89"/>
      <c r="C89"/>
      <c r="D89" s="143"/>
      <c r="E89" s="143"/>
      <c r="F89" s="143"/>
      <c r="G89" s="143"/>
      <c r="H89" s="242"/>
      <c r="I89" s="143"/>
      <c r="J89" s="143"/>
      <c r="K89" s="243"/>
      <c r="L89" s="243"/>
      <c r="M89" s="244"/>
      <c r="N89" s="143"/>
      <c r="O89" s="143"/>
      <c r="P89" s="143"/>
      <c r="Q89" s="143"/>
      <c r="R89" s="143"/>
      <c r="S89" s="244"/>
      <c r="T89" s="143"/>
      <c r="U89" s="143"/>
      <c r="V89" s="143"/>
      <c r="W89" s="143"/>
      <c r="X89" s="244"/>
      <c r="Y89" s="143"/>
      <c r="Z89" s="143"/>
      <c r="AA89" s="143"/>
      <c r="AB89" s="143"/>
      <c r="AC89" s="143"/>
      <c r="AD89" s="244"/>
      <c r="AE89" s="143"/>
      <c r="AF89" s="143"/>
      <c r="AG89" s="143"/>
      <c r="AH89" s="143"/>
      <c r="AI89" s="242"/>
      <c r="AJ89" s="143"/>
      <c r="AK89" s="143"/>
      <c r="AL89" s="143"/>
      <c r="AM89" s="143"/>
      <c r="AN89" s="244"/>
      <c r="AO89" s="143"/>
      <c r="AP89" s="143"/>
      <c r="AQ89" s="143"/>
      <c r="AR89" s="143"/>
      <c r="AS89" s="143"/>
      <c r="AT89" s="244"/>
      <c r="AU89" s="143"/>
      <c r="AV89" s="143"/>
      <c r="AW89" s="143"/>
      <c r="AX89" s="143"/>
      <c r="AY89" s="244"/>
      <c r="AZ89" s="143"/>
      <c r="BA89" s="143"/>
      <c r="BB89" s="143"/>
      <c r="BC89" s="143"/>
      <c r="BD89" s="244"/>
      <c r="BE89" s="143"/>
      <c r="BF89" s="143"/>
      <c r="BG89" s="143"/>
      <c r="BH89" s="143"/>
      <c r="BI89" s="143"/>
      <c r="BJ89" s="244"/>
      <c r="BK89" s="143"/>
      <c r="BL89" s="143"/>
      <c r="BM89" s="143"/>
      <c r="BN89" s="143"/>
      <c r="BO89" s="242"/>
      <c r="BP89" s="143">
        <f t="shared" si="17"/>
        <v>0</v>
      </c>
      <c r="BQ89" s="143">
        <f t="shared" si="18"/>
        <v>0</v>
      </c>
      <c r="BR89" s="275">
        <f t="shared" si="19"/>
        <v>0</v>
      </c>
      <c r="BS89" s="246">
        <f t="shared" si="20"/>
        <v>86</v>
      </c>
      <c r="BT89" s="247">
        <f t="shared" si="21"/>
        <v>0</v>
      </c>
      <c r="BU89" s="247">
        <f t="shared" si="23"/>
        <v>0</v>
      </c>
    </row>
    <row r="90" spans="1:73" s="166" customFormat="1" ht="13.5">
      <c r="A90" s="246">
        <v>87</v>
      </c>
      <c r="B90"/>
      <c r="C90"/>
      <c r="D90" s="143"/>
      <c r="E90" s="143"/>
      <c r="F90" s="143"/>
      <c r="G90" s="143"/>
      <c r="H90" s="242"/>
      <c r="I90" s="143"/>
      <c r="J90" s="143"/>
      <c r="K90" s="243"/>
      <c r="L90" s="243"/>
      <c r="M90" s="244"/>
      <c r="N90" s="143"/>
      <c r="O90" s="143"/>
      <c r="P90" s="143"/>
      <c r="Q90" s="143"/>
      <c r="R90" s="143"/>
      <c r="S90" s="244"/>
      <c r="T90" s="143"/>
      <c r="U90" s="143"/>
      <c r="V90" s="143"/>
      <c r="W90" s="143"/>
      <c r="X90" s="244"/>
      <c r="Y90" s="143"/>
      <c r="Z90" s="143"/>
      <c r="AA90" s="143"/>
      <c r="AB90" s="143"/>
      <c r="AC90" s="143"/>
      <c r="AD90" s="244"/>
      <c r="AE90" s="143"/>
      <c r="AF90" s="143"/>
      <c r="AG90" s="143"/>
      <c r="AH90" s="143"/>
      <c r="AI90" s="242"/>
      <c r="AJ90" s="143"/>
      <c r="AK90" s="143"/>
      <c r="AL90" s="143"/>
      <c r="AM90" s="143"/>
      <c r="AN90" s="244"/>
      <c r="AO90" s="143"/>
      <c r="AP90" s="143"/>
      <c r="AQ90" s="143"/>
      <c r="AR90" s="143"/>
      <c r="AS90" s="143"/>
      <c r="AT90" s="244"/>
      <c r="AU90" s="143"/>
      <c r="AV90" s="143"/>
      <c r="AW90" s="143"/>
      <c r="AX90" s="143"/>
      <c r="AY90" s="244"/>
      <c r="AZ90" s="143"/>
      <c r="BA90" s="143"/>
      <c r="BB90" s="143"/>
      <c r="BC90" s="143"/>
      <c r="BD90" s="244"/>
      <c r="BE90" s="143"/>
      <c r="BF90" s="143"/>
      <c r="BG90" s="143"/>
      <c r="BH90" s="143"/>
      <c r="BI90" s="143"/>
      <c r="BJ90" s="244"/>
      <c r="BK90" s="143"/>
      <c r="BL90" s="143"/>
      <c r="BM90" s="143"/>
      <c r="BN90" s="143"/>
      <c r="BO90" s="242"/>
      <c r="BP90" s="143">
        <f t="shared" si="17"/>
        <v>0</v>
      </c>
      <c r="BQ90" s="143">
        <f t="shared" si="18"/>
        <v>0</v>
      </c>
      <c r="BR90" s="275">
        <f t="shared" si="19"/>
        <v>0</v>
      </c>
      <c r="BS90" s="246">
        <f t="shared" si="20"/>
        <v>87</v>
      </c>
      <c r="BT90" s="247">
        <f t="shared" si="21"/>
        <v>0</v>
      </c>
      <c r="BU90" s="247">
        <f t="shared" si="23"/>
        <v>0</v>
      </c>
    </row>
    <row r="91" spans="1:73" s="166" customFormat="1" ht="13.5">
      <c r="A91" s="246">
        <v>88</v>
      </c>
      <c r="B91"/>
      <c r="C91"/>
      <c r="D91" s="143"/>
      <c r="E91" s="143"/>
      <c r="F91" s="143"/>
      <c r="G91" s="143"/>
      <c r="H91" s="242"/>
      <c r="I91" s="143"/>
      <c r="J91" s="143"/>
      <c r="K91" s="243"/>
      <c r="L91" s="243"/>
      <c r="M91" s="244"/>
      <c r="N91" s="143"/>
      <c r="O91" s="143"/>
      <c r="P91" s="143"/>
      <c r="Q91" s="143"/>
      <c r="R91" s="143"/>
      <c r="S91" s="244"/>
      <c r="T91" s="143"/>
      <c r="U91" s="143"/>
      <c r="V91" s="143"/>
      <c r="W91" s="143"/>
      <c r="X91" s="244"/>
      <c r="Y91" s="143"/>
      <c r="Z91" s="143"/>
      <c r="AA91" s="143"/>
      <c r="AB91" s="143"/>
      <c r="AC91" s="143"/>
      <c r="AD91" s="244"/>
      <c r="AE91" s="143"/>
      <c r="AF91" s="143"/>
      <c r="AG91" s="143"/>
      <c r="AH91" s="143"/>
      <c r="AI91" s="242"/>
      <c r="AJ91" s="143"/>
      <c r="AK91" s="143"/>
      <c r="AL91" s="143"/>
      <c r="AM91" s="143"/>
      <c r="AN91" s="244"/>
      <c r="AO91" s="143"/>
      <c r="AP91" s="143"/>
      <c r="AQ91" s="143"/>
      <c r="AR91" s="143"/>
      <c r="AS91" s="143"/>
      <c r="AT91" s="244"/>
      <c r="AU91" s="143"/>
      <c r="AV91" s="143"/>
      <c r="AW91" s="143"/>
      <c r="AX91" s="143"/>
      <c r="AY91" s="244"/>
      <c r="AZ91" s="143"/>
      <c r="BA91" s="143"/>
      <c r="BB91" s="143"/>
      <c r="BC91" s="143"/>
      <c r="BD91" s="244"/>
      <c r="BE91" s="143"/>
      <c r="BF91" s="143"/>
      <c r="BG91" s="143"/>
      <c r="BH91" s="143"/>
      <c r="BI91" s="143"/>
      <c r="BJ91" s="244"/>
      <c r="BK91" s="143"/>
      <c r="BL91" s="143"/>
      <c r="BM91" s="143"/>
      <c r="BN91" s="143"/>
      <c r="BO91" s="242"/>
      <c r="BP91" s="143">
        <f t="shared" si="17"/>
        <v>0</v>
      </c>
      <c r="BQ91" s="143">
        <f t="shared" si="18"/>
        <v>0</v>
      </c>
      <c r="BR91" s="275">
        <f t="shared" si="19"/>
        <v>0</v>
      </c>
      <c r="BS91" s="246">
        <f t="shared" si="20"/>
        <v>88</v>
      </c>
      <c r="BT91" s="247">
        <f t="shared" si="21"/>
        <v>0</v>
      </c>
      <c r="BU91" s="247">
        <f t="shared" si="23"/>
        <v>0</v>
      </c>
    </row>
    <row r="92" spans="1:73" s="166" customFormat="1" ht="13.5">
      <c r="A92" s="246">
        <v>89</v>
      </c>
      <c r="B92"/>
      <c r="C92"/>
      <c r="D92" s="143"/>
      <c r="E92" s="143"/>
      <c r="F92" s="143"/>
      <c r="G92" s="143"/>
      <c r="H92" s="242"/>
      <c r="I92" s="143"/>
      <c r="J92" s="143"/>
      <c r="K92" s="243"/>
      <c r="L92" s="243"/>
      <c r="M92" s="244"/>
      <c r="N92" s="143"/>
      <c r="O92" s="143"/>
      <c r="P92" s="143"/>
      <c r="Q92" s="143"/>
      <c r="R92" s="143"/>
      <c r="S92" s="244"/>
      <c r="T92" s="143"/>
      <c r="U92" s="143"/>
      <c r="V92" s="143"/>
      <c r="W92" s="143"/>
      <c r="X92" s="244"/>
      <c r="Y92" s="143"/>
      <c r="Z92" s="143"/>
      <c r="AA92" s="143"/>
      <c r="AB92" s="143"/>
      <c r="AC92" s="143"/>
      <c r="AD92" s="244"/>
      <c r="AE92" s="143"/>
      <c r="AF92" s="143"/>
      <c r="AG92" s="143"/>
      <c r="AH92" s="143"/>
      <c r="AI92" s="242"/>
      <c r="AJ92" s="143"/>
      <c r="AK92" s="143"/>
      <c r="AL92" s="143"/>
      <c r="AM92" s="143"/>
      <c r="AN92" s="244"/>
      <c r="AO92" s="143"/>
      <c r="AP92" s="143"/>
      <c r="AQ92" s="143"/>
      <c r="AR92" s="143"/>
      <c r="AS92" s="143"/>
      <c r="AT92" s="244"/>
      <c r="AU92" s="143"/>
      <c r="AV92" s="143"/>
      <c r="AW92" s="143"/>
      <c r="AX92" s="143"/>
      <c r="AY92" s="244"/>
      <c r="AZ92" s="143"/>
      <c r="BA92" s="143"/>
      <c r="BB92" s="143"/>
      <c r="BC92" s="143"/>
      <c r="BD92" s="244"/>
      <c r="BE92" s="143"/>
      <c r="BF92" s="143"/>
      <c r="BG92" s="143"/>
      <c r="BH92" s="143"/>
      <c r="BI92" s="143"/>
      <c r="BJ92" s="244"/>
      <c r="BK92" s="143"/>
      <c r="BL92" s="143"/>
      <c r="BM92" s="143"/>
      <c r="BN92" s="143"/>
      <c r="BO92" s="242"/>
      <c r="BP92" s="143">
        <f t="shared" si="17"/>
        <v>0</v>
      </c>
      <c r="BQ92" s="143">
        <f t="shared" si="18"/>
        <v>0</v>
      </c>
      <c r="BR92" s="275">
        <f t="shared" si="19"/>
        <v>0</v>
      </c>
      <c r="BS92" s="246">
        <f t="shared" si="20"/>
        <v>89</v>
      </c>
      <c r="BT92" s="247">
        <f t="shared" si="21"/>
        <v>0</v>
      </c>
      <c r="BU92" s="247">
        <f t="shared" si="23"/>
        <v>0</v>
      </c>
    </row>
    <row r="93" spans="1:73" s="166" customFormat="1" ht="13.5">
      <c r="A93" s="246">
        <v>90</v>
      </c>
      <c r="B93"/>
      <c r="C93"/>
      <c r="D93" s="143"/>
      <c r="E93" s="143"/>
      <c r="F93" s="143"/>
      <c r="G93" s="143"/>
      <c r="H93" s="242"/>
      <c r="I93" s="143"/>
      <c r="J93" s="143"/>
      <c r="K93" s="243"/>
      <c r="L93" s="243"/>
      <c r="M93" s="244"/>
      <c r="N93" s="143"/>
      <c r="O93" s="143"/>
      <c r="P93" s="143"/>
      <c r="Q93" s="143"/>
      <c r="R93" s="143"/>
      <c r="S93" s="244"/>
      <c r="T93" s="143"/>
      <c r="U93" s="143"/>
      <c r="V93" s="143"/>
      <c r="W93" s="143"/>
      <c r="X93" s="244"/>
      <c r="Y93" s="143"/>
      <c r="Z93" s="143"/>
      <c r="AA93" s="143"/>
      <c r="AB93" s="143"/>
      <c r="AC93" s="143"/>
      <c r="AD93" s="244"/>
      <c r="AE93" s="143"/>
      <c r="AF93" s="143"/>
      <c r="AG93" s="143"/>
      <c r="AH93" s="143"/>
      <c r="AI93" s="242"/>
      <c r="AJ93" s="143"/>
      <c r="AK93" s="143"/>
      <c r="AL93" s="143"/>
      <c r="AM93" s="143"/>
      <c r="AN93" s="244"/>
      <c r="AO93" s="143"/>
      <c r="AP93" s="143"/>
      <c r="AQ93" s="143"/>
      <c r="AR93" s="143"/>
      <c r="AS93" s="143"/>
      <c r="AT93" s="244"/>
      <c r="AU93" s="143"/>
      <c r="AV93" s="143"/>
      <c r="AW93" s="143"/>
      <c r="AX93" s="143"/>
      <c r="AY93" s="244"/>
      <c r="AZ93" s="143"/>
      <c r="BA93" s="143"/>
      <c r="BB93" s="143"/>
      <c r="BC93" s="143"/>
      <c r="BD93" s="244"/>
      <c r="BE93" s="143"/>
      <c r="BF93" s="143"/>
      <c r="BG93" s="143"/>
      <c r="BH93" s="143"/>
      <c r="BI93" s="143"/>
      <c r="BJ93" s="244"/>
      <c r="BK93" s="143"/>
      <c r="BL93" s="143"/>
      <c r="BM93" s="143"/>
      <c r="BN93" s="143"/>
      <c r="BO93" s="242"/>
      <c r="BP93" s="143">
        <f t="shared" si="17"/>
        <v>0</v>
      </c>
      <c r="BQ93" s="143">
        <f t="shared" si="18"/>
        <v>0</v>
      </c>
      <c r="BR93" s="275">
        <f t="shared" si="19"/>
        <v>0</v>
      </c>
      <c r="BS93" s="246">
        <f t="shared" si="20"/>
        <v>90</v>
      </c>
      <c r="BT93" s="247">
        <f t="shared" si="21"/>
        <v>0</v>
      </c>
      <c r="BU93" s="247">
        <f t="shared" si="23"/>
        <v>0</v>
      </c>
    </row>
    <row r="94" spans="1:73" s="166" customFormat="1" ht="13.5">
      <c r="A94" s="246">
        <v>91</v>
      </c>
      <c r="B94"/>
      <c r="C94"/>
      <c r="D94" s="143"/>
      <c r="E94" s="143"/>
      <c r="F94" s="143"/>
      <c r="G94" s="143"/>
      <c r="H94" s="242"/>
      <c r="I94" s="143"/>
      <c r="J94" s="143"/>
      <c r="K94" s="243"/>
      <c r="L94" s="243"/>
      <c r="M94" s="244"/>
      <c r="N94" s="143"/>
      <c r="O94" s="143"/>
      <c r="P94" s="143"/>
      <c r="Q94" s="143"/>
      <c r="R94" s="143"/>
      <c r="S94" s="244"/>
      <c r="T94" s="143"/>
      <c r="U94" s="143"/>
      <c r="V94" s="143"/>
      <c r="W94" s="143"/>
      <c r="X94" s="244"/>
      <c r="Y94" s="143"/>
      <c r="Z94" s="143"/>
      <c r="AA94" s="143"/>
      <c r="AB94" s="143"/>
      <c r="AC94" s="143"/>
      <c r="AD94" s="244"/>
      <c r="AE94" s="143"/>
      <c r="AF94" s="143"/>
      <c r="AG94" s="143"/>
      <c r="AH94" s="143"/>
      <c r="AI94" s="242"/>
      <c r="AJ94" s="143"/>
      <c r="AK94" s="143"/>
      <c r="AL94" s="143"/>
      <c r="AM94" s="143"/>
      <c r="AN94" s="244"/>
      <c r="AO94" s="143"/>
      <c r="AP94" s="143"/>
      <c r="AQ94" s="143"/>
      <c r="AR94" s="143"/>
      <c r="AS94" s="143"/>
      <c r="AT94" s="244"/>
      <c r="AU94" s="143"/>
      <c r="AV94" s="143"/>
      <c r="AW94" s="143"/>
      <c r="AX94" s="143"/>
      <c r="AY94" s="244"/>
      <c r="AZ94" s="143"/>
      <c r="BA94" s="143"/>
      <c r="BB94" s="143"/>
      <c r="BC94" s="143"/>
      <c r="BD94" s="244"/>
      <c r="BE94" s="143"/>
      <c r="BF94" s="143"/>
      <c r="BG94" s="143"/>
      <c r="BH94" s="143"/>
      <c r="BI94" s="143"/>
      <c r="BJ94" s="244"/>
      <c r="BK94" s="143"/>
      <c r="BL94" s="143"/>
      <c r="BM94" s="143"/>
      <c r="BN94" s="143"/>
      <c r="BO94" s="242"/>
      <c r="BP94" s="143">
        <f t="shared" si="17"/>
        <v>0</v>
      </c>
      <c r="BQ94" s="143">
        <f t="shared" si="18"/>
        <v>0</v>
      </c>
      <c r="BR94" s="275">
        <f t="shared" si="19"/>
        <v>0</v>
      </c>
      <c r="BS94" s="246">
        <f t="shared" si="20"/>
        <v>91</v>
      </c>
      <c r="BT94" s="247">
        <f t="shared" si="21"/>
        <v>0</v>
      </c>
      <c r="BU94" s="247">
        <f t="shared" si="23"/>
        <v>0</v>
      </c>
    </row>
    <row r="95" spans="1:73" s="166" customFormat="1" ht="13.5">
      <c r="A95" s="246">
        <v>92</v>
      </c>
      <c r="B95"/>
      <c r="C95"/>
      <c r="D95" s="143"/>
      <c r="E95" s="143"/>
      <c r="F95" s="143"/>
      <c r="G95" s="143"/>
      <c r="H95" s="242"/>
      <c r="I95" s="143"/>
      <c r="J95" s="143"/>
      <c r="K95" s="243"/>
      <c r="L95" s="243"/>
      <c r="M95" s="244"/>
      <c r="N95" s="143"/>
      <c r="O95" s="143"/>
      <c r="P95" s="143"/>
      <c r="Q95" s="143"/>
      <c r="R95" s="143"/>
      <c r="S95" s="244"/>
      <c r="T95" s="143"/>
      <c r="U95" s="143"/>
      <c r="V95" s="143"/>
      <c r="W95" s="143"/>
      <c r="X95" s="244"/>
      <c r="Y95" s="143"/>
      <c r="Z95" s="143"/>
      <c r="AA95" s="143"/>
      <c r="AB95" s="143"/>
      <c r="AC95" s="143"/>
      <c r="AD95" s="244"/>
      <c r="AE95" s="143"/>
      <c r="AF95" s="143"/>
      <c r="AG95" s="143"/>
      <c r="AH95" s="143"/>
      <c r="AI95" s="242"/>
      <c r="AJ95" s="143"/>
      <c r="AK95" s="143"/>
      <c r="AL95" s="143"/>
      <c r="AM95" s="143"/>
      <c r="AN95" s="244"/>
      <c r="AO95" s="143"/>
      <c r="AP95" s="143"/>
      <c r="AQ95" s="143"/>
      <c r="AR95" s="143"/>
      <c r="AS95" s="143"/>
      <c r="AT95" s="244"/>
      <c r="AU95" s="143"/>
      <c r="AV95" s="143"/>
      <c r="AW95" s="143"/>
      <c r="AX95" s="143"/>
      <c r="AY95" s="244"/>
      <c r="AZ95" s="143"/>
      <c r="BA95" s="143"/>
      <c r="BB95" s="143"/>
      <c r="BC95" s="143"/>
      <c r="BD95" s="244"/>
      <c r="BE95" s="143"/>
      <c r="BF95" s="143"/>
      <c r="BG95" s="143"/>
      <c r="BH95" s="143"/>
      <c r="BI95" s="143"/>
      <c r="BJ95" s="244"/>
      <c r="BK95" s="143"/>
      <c r="BL95" s="143"/>
      <c r="BM95" s="143"/>
      <c r="BN95" s="143"/>
      <c r="BO95" s="242"/>
      <c r="BP95" s="143">
        <f t="shared" si="17"/>
        <v>0</v>
      </c>
      <c r="BQ95" s="143">
        <f t="shared" si="18"/>
        <v>0</v>
      </c>
      <c r="BR95" s="275">
        <f t="shared" si="19"/>
        <v>0</v>
      </c>
      <c r="BS95" s="246">
        <f t="shared" si="20"/>
        <v>92</v>
      </c>
      <c r="BT95" s="247">
        <f t="shared" si="21"/>
        <v>0</v>
      </c>
      <c r="BU95" s="247">
        <f t="shared" si="23"/>
        <v>0</v>
      </c>
    </row>
    <row r="96" spans="1:73" s="166" customFormat="1" ht="13.5">
      <c r="A96" s="246">
        <v>93</v>
      </c>
      <c r="B96"/>
      <c r="C96"/>
      <c r="D96" s="143"/>
      <c r="E96" s="143"/>
      <c r="F96" s="143"/>
      <c r="G96" s="143"/>
      <c r="H96" s="242"/>
      <c r="I96" s="143"/>
      <c r="J96" s="143"/>
      <c r="K96" s="243"/>
      <c r="L96" s="243"/>
      <c r="M96" s="244"/>
      <c r="N96" s="143"/>
      <c r="O96" s="143"/>
      <c r="P96" s="143"/>
      <c r="Q96" s="143"/>
      <c r="R96" s="143"/>
      <c r="S96" s="244"/>
      <c r="T96" s="143"/>
      <c r="U96" s="143"/>
      <c r="V96" s="143"/>
      <c r="W96" s="143"/>
      <c r="X96" s="244"/>
      <c r="Y96" s="143"/>
      <c r="Z96" s="143"/>
      <c r="AA96" s="143"/>
      <c r="AB96" s="143"/>
      <c r="AC96" s="143"/>
      <c r="AD96" s="244"/>
      <c r="AE96" s="143"/>
      <c r="AF96" s="143"/>
      <c r="AG96" s="143"/>
      <c r="AH96" s="143"/>
      <c r="AI96" s="242"/>
      <c r="AJ96" s="143"/>
      <c r="AK96" s="143"/>
      <c r="AL96" s="143"/>
      <c r="AM96" s="143"/>
      <c r="AN96" s="244"/>
      <c r="AO96" s="143"/>
      <c r="AP96" s="143"/>
      <c r="AQ96" s="143"/>
      <c r="AR96" s="143"/>
      <c r="AS96" s="143"/>
      <c r="AT96" s="244"/>
      <c r="AU96" s="143"/>
      <c r="AV96" s="143"/>
      <c r="AW96" s="143"/>
      <c r="AX96" s="143"/>
      <c r="AY96" s="244"/>
      <c r="AZ96" s="143"/>
      <c r="BA96" s="143"/>
      <c r="BB96" s="143"/>
      <c r="BC96" s="143"/>
      <c r="BD96" s="244"/>
      <c r="BE96" s="143"/>
      <c r="BF96" s="143"/>
      <c r="BG96" s="143"/>
      <c r="BH96" s="143"/>
      <c r="BI96" s="143"/>
      <c r="BJ96" s="244"/>
      <c r="BK96" s="143"/>
      <c r="BL96" s="143"/>
      <c r="BM96" s="143"/>
      <c r="BN96" s="143"/>
      <c r="BO96" s="242"/>
      <c r="BP96" s="143">
        <f t="shared" si="17"/>
        <v>0</v>
      </c>
      <c r="BQ96" s="143">
        <f t="shared" si="18"/>
        <v>0</v>
      </c>
      <c r="BR96" s="275">
        <f t="shared" si="19"/>
        <v>0</v>
      </c>
      <c r="BS96" s="246">
        <f t="shared" si="20"/>
        <v>93</v>
      </c>
      <c r="BT96" s="247">
        <f t="shared" si="21"/>
        <v>0</v>
      </c>
      <c r="BU96" s="247"/>
    </row>
    <row r="97" spans="1:73" s="166" customFormat="1" ht="13.5">
      <c r="A97" s="246">
        <v>94</v>
      </c>
      <c r="B97"/>
      <c r="C97"/>
      <c r="D97" s="143"/>
      <c r="E97" s="143"/>
      <c r="F97" s="143"/>
      <c r="G97" s="143"/>
      <c r="H97" s="242"/>
      <c r="I97" s="143"/>
      <c r="J97" s="143"/>
      <c r="K97" s="243"/>
      <c r="L97" s="243"/>
      <c r="M97" s="244"/>
      <c r="N97" s="143"/>
      <c r="O97" s="143"/>
      <c r="P97" s="143"/>
      <c r="Q97" s="143"/>
      <c r="R97" s="143"/>
      <c r="S97" s="244"/>
      <c r="T97" s="143"/>
      <c r="U97" s="143"/>
      <c r="V97" s="143"/>
      <c r="W97" s="143"/>
      <c r="X97" s="244"/>
      <c r="Y97" s="143"/>
      <c r="Z97" s="143"/>
      <c r="AA97" s="143"/>
      <c r="AB97" s="143"/>
      <c r="AC97" s="143"/>
      <c r="AD97" s="244"/>
      <c r="AE97" s="143"/>
      <c r="AF97" s="143"/>
      <c r="AG97" s="143"/>
      <c r="AH97" s="143"/>
      <c r="AI97" s="242"/>
      <c r="AJ97" s="143"/>
      <c r="AK97" s="143"/>
      <c r="AL97" s="143"/>
      <c r="AM97" s="143"/>
      <c r="AN97" s="244"/>
      <c r="AO97" s="143"/>
      <c r="AP97" s="143"/>
      <c r="AQ97" s="143"/>
      <c r="AR97" s="143"/>
      <c r="AS97" s="143"/>
      <c r="AT97" s="244"/>
      <c r="AU97" s="143"/>
      <c r="AV97" s="143"/>
      <c r="AW97" s="143"/>
      <c r="AX97" s="143"/>
      <c r="AY97" s="244"/>
      <c r="AZ97" s="143"/>
      <c r="BA97" s="143"/>
      <c r="BB97" s="143"/>
      <c r="BC97" s="143"/>
      <c r="BD97" s="244"/>
      <c r="BE97" s="143"/>
      <c r="BF97" s="143"/>
      <c r="BG97" s="143"/>
      <c r="BH97" s="143"/>
      <c r="BI97" s="143"/>
      <c r="BJ97" s="244"/>
      <c r="BK97" s="143"/>
      <c r="BL97" s="143"/>
      <c r="BM97" s="143"/>
      <c r="BN97" s="143"/>
      <c r="BO97" s="242"/>
      <c r="BP97" s="143">
        <f t="shared" si="17"/>
        <v>0</v>
      </c>
      <c r="BQ97" s="143">
        <f t="shared" si="18"/>
        <v>0</v>
      </c>
      <c r="BR97" s="275">
        <f t="shared" si="19"/>
        <v>0</v>
      </c>
      <c r="BS97" s="246">
        <f t="shared" si="20"/>
        <v>94</v>
      </c>
      <c r="BT97" s="247">
        <f t="shared" si="21"/>
        <v>0</v>
      </c>
      <c r="BU97" s="247"/>
    </row>
    <row r="98" spans="1:73" s="166" customFormat="1" ht="13.5">
      <c r="A98" s="246">
        <v>95</v>
      </c>
      <c r="B98"/>
      <c r="C98"/>
      <c r="D98" s="143"/>
      <c r="E98" s="143"/>
      <c r="F98" s="143"/>
      <c r="G98" s="143"/>
      <c r="H98" s="242"/>
      <c r="I98" s="143"/>
      <c r="J98" s="143"/>
      <c r="K98" s="243"/>
      <c r="L98" s="243"/>
      <c r="M98" s="244"/>
      <c r="N98" s="143"/>
      <c r="O98" s="143"/>
      <c r="P98" s="143"/>
      <c r="Q98" s="143"/>
      <c r="R98" s="143"/>
      <c r="S98" s="244"/>
      <c r="T98" s="143"/>
      <c r="U98" s="143"/>
      <c r="V98" s="143"/>
      <c r="W98" s="143"/>
      <c r="X98" s="244"/>
      <c r="Y98" s="143"/>
      <c r="Z98" s="143"/>
      <c r="AA98" s="143"/>
      <c r="AB98" s="143"/>
      <c r="AC98" s="143"/>
      <c r="AD98" s="244"/>
      <c r="AE98" s="143"/>
      <c r="AF98" s="143"/>
      <c r="AG98" s="143"/>
      <c r="AH98" s="143"/>
      <c r="AI98" s="242"/>
      <c r="AJ98" s="143"/>
      <c r="AK98" s="143"/>
      <c r="AL98" s="143"/>
      <c r="AM98" s="143"/>
      <c r="AN98" s="244"/>
      <c r="AO98" s="143"/>
      <c r="AP98" s="143"/>
      <c r="AQ98" s="143"/>
      <c r="AR98" s="143"/>
      <c r="AS98" s="143"/>
      <c r="AT98" s="244"/>
      <c r="AU98" s="143"/>
      <c r="AV98" s="143"/>
      <c r="AW98" s="143"/>
      <c r="AX98" s="143"/>
      <c r="AY98" s="244"/>
      <c r="AZ98" s="143"/>
      <c r="BA98" s="143"/>
      <c r="BB98" s="143"/>
      <c r="BC98" s="143"/>
      <c r="BD98" s="244"/>
      <c r="BE98" s="143"/>
      <c r="BF98" s="143"/>
      <c r="BG98" s="143"/>
      <c r="BH98" s="143"/>
      <c r="BI98" s="143"/>
      <c r="BJ98" s="244"/>
      <c r="BK98" s="143"/>
      <c r="BL98" s="143"/>
      <c r="BM98" s="143"/>
      <c r="BN98" s="143"/>
      <c r="BO98" s="242"/>
      <c r="BP98" s="143">
        <f t="shared" si="17"/>
        <v>0</v>
      </c>
      <c r="BQ98" s="143">
        <f t="shared" si="18"/>
        <v>0</v>
      </c>
      <c r="BR98" s="275">
        <f t="shared" si="19"/>
        <v>0</v>
      </c>
      <c r="BS98" s="246">
        <f t="shared" si="20"/>
        <v>95</v>
      </c>
      <c r="BT98" s="247">
        <f t="shared" si="21"/>
        <v>0</v>
      </c>
      <c r="BU98" s="247">
        <f aca="true" t="shared" si="24" ref="BU98:BU103">C98</f>
        <v>0</v>
      </c>
    </row>
    <row r="99" spans="1:73" s="166" customFormat="1" ht="13.5">
      <c r="A99" s="246">
        <v>96</v>
      </c>
      <c r="B99"/>
      <c r="C99"/>
      <c r="D99" s="143"/>
      <c r="E99" s="143"/>
      <c r="F99" s="143"/>
      <c r="G99" s="143"/>
      <c r="H99" s="242"/>
      <c r="I99" s="143"/>
      <c r="J99" s="143"/>
      <c r="K99" s="243"/>
      <c r="L99" s="243"/>
      <c r="M99" s="244"/>
      <c r="N99" s="143"/>
      <c r="O99" s="143"/>
      <c r="P99" s="143"/>
      <c r="Q99" s="143"/>
      <c r="R99" s="143"/>
      <c r="S99" s="244"/>
      <c r="T99" s="143"/>
      <c r="U99" s="143"/>
      <c r="V99" s="143"/>
      <c r="W99" s="143"/>
      <c r="X99" s="244"/>
      <c r="Y99" s="143"/>
      <c r="Z99" s="143"/>
      <c r="AA99" s="143"/>
      <c r="AB99" s="143"/>
      <c r="AC99" s="143"/>
      <c r="AD99" s="244"/>
      <c r="AE99" s="143"/>
      <c r="AF99" s="143"/>
      <c r="AG99" s="143"/>
      <c r="AH99" s="143"/>
      <c r="AI99" s="242"/>
      <c r="AJ99" s="143"/>
      <c r="AK99" s="143"/>
      <c r="AL99" s="143"/>
      <c r="AM99" s="143"/>
      <c r="AN99" s="244"/>
      <c r="AO99" s="143"/>
      <c r="AP99" s="143"/>
      <c r="AQ99" s="143"/>
      <c r="AR99" s="143"/>
      <c r="AS99" s="143"/>
      <c r="AT99" s="244"/>
      <c r="AU99" s="143"/>
      <c r="AV99" s="143"/>
      <c r="AW99" s="143"/>
      <c r="AX99" s="143"/>
      <c r="AY99" s="244"/>
      <c r="AZ99" s="143"/>
      <c r="BA99" s="143"/>
      <c r="BB99" s="143"/>
      <c r="BC99" s="143"/>
      <c r="BD99" s="244"/>
      <c r="BE99" s="143"/>
      <c r="BF99" s="143"/>
      <c r="BG99" s="143"/>
      <c r="BH99" s="143"/>
      <c r="BI99" s="143"/>
      <c r="BJ99" s="244"/>
      <c r="BK99" s="143"/>
      <c r="BL99" s="143"/>
      <c r="BM99" s="143"/>
      <c r="BN99" s="143"/>
      <c r="BO99" s="242"/>
      <c r="BP99" s="143">
        <f t="shared" si="17"/>
        <v>0</v>
      </c>
      <c r="BQ99" s="143">
        <f t="shared" si="18"/>
        <v>0</v>
      </c>
      <c r="BR99" s="275">
        <f t="shared" si="19"/>
        <v>0</v>
      </c>
      <c r="BS99" s="246">
        <f t="shared" si="20"/>
        <v>96</v>
      </c>
      <c r="BT99" s="247">
        <f t="shared" si="21"/>
        <v>0</v>
      </c>
      <c r="BU99" s="247">
        <f t="shared" si="24"/>
        <v>0</v>
      </c>
    </row>
    <row r="100" spans="1:73" s="166" customFormat="1" ht="13.5">
      <c r="A100" s="246">
        <v>97</v>
      </c>
      <c r="B100"/>
      <c r="C100"/>
      <c r="D100" s="143"/>
      <c r="E100" s="143"/>
      <c r="F100" s="143"/>
      <c r="G100" s="143"/>
      <c r="H100" s="242"/>
      <c r="I100" s="143"/>
      <c r="J100" s="143"/>
      <c r="K100" s="243"/>
      <c r="L100" s="243"/>
      <c r="M100" s="244"/>
      <c r="N100" s="143"/>
      <c r="O100" s="143"/>
      <c r="P100" s="143"/>
      <c r="Q100" s="143"/>
      <c r="R100" s="143"/>
      <c r="S100" s="244"/>
      <c r="T100" s="143"/>
      <c r="U100" s="143"/>
      <c r="V100" s="143"/>
      <c r="W100" s="143"/>
      <c r="X100" s="244"/>
      <c r="Y100" s="143"/>
      <c r="Z100" s="143"/>
      <c r="AA100" s="143"/>
      <c r="AB100" s="143"/>
      <c r="AC100" s="143"/>
      <c r="AD100" s="244"/>
      <c r="AE100" s="143"/>
      <c r="AF100" s="143"/>
      <c r="AG100" s="143"/>
      <c r="AH100" s="143"/>
      <c r="AI100" s="242"/>
      <c r="AJ100" s="143"/>
      <c r="AK100" s="143"/>
      <c r="AL100" s="143"/>
      <c r="AM100" s="143"/>
      <c r="AN100" s="244"/>
      <c r="AO100" s="143"/>
      <c r="AP100" s="143"/>
      <c r="AQ100" s="143"/>
      <c r="AR100" s="143"/>
      <c r="AS100" s="143"/>
      <c r="AT100" s="244"/>
      <c r="AU100" s="143"/>
      <c r="AV100" s="143"/>
      <c r="AW100" s="143"/>
      <c r="AX100" s="143"/>
      <c r="AY100" s="244"/>
      <c r="AZ100" s="143"/>
      <c r="BA100" s="143"/>
      <c r="BB100" s="143"/>
      <c r="BC100" s="143"/>
      <c r="BD100" s="244"/>
      <c r="BE100" s="143"/>
      <c r="BF100" s="143"/>
      <c r="BG100" s="143"/>
      <c r="BH100" s="143"/>
      <c r="BI100" s="143"/>
      <c r="BJ100" s="244"/>
      <c r="BK100" s="143"/>
      <c r="BL100" s="143"/>
      <c r="BM100" s="143"/>
      <c r="BN100" s="143"/>
      <c r="BO100" s="242"/>
      <c r="BP100" s="143">
        <f>SUM(D100:BO100)</f>
        <v>0</v>
      </c>
      <c r="BQ100" s="143">
        <f>BP100-BO100-BJ100-BD100-AY100-AT100-AN100-AI100-AD100-X100-S100-M100-H100</f>
        <v>0</v>
      </c>
      <c r="BR100" s="275">
        <f t="shared" si="19"/>
        <v>0</v>
      </c>
      <c r="BS100" s="246">
        <f t="shared" si="20"/>
        <v>97</v>
      </c>
      <c r="BT100" s="247">
        <f t="shared" si="21"/>
        <v>0</v>
      </c>
      <c r="BU100" s="247">
        <f t="shared" si="24"/>
        <v>0</v>
      </c>
    </row>
    <row r="101" spans="1:73" s="166" customFormat="1" ht="13.5">
      <c r="A101" s="246">
        <v>98</v>
      </c>
      <c r="B101"/>
      <c r="C101"/>
      <c r="D101" s="143"/>
      <c r="E101" s="143"/>
      <c r="F101" s="143"/>
      <c r="G101" s="143"/>
      <c r="H101" s="242"/>
      <c r="I101" s="143"/>
      <c r="J101" s="143"/>
      <c r="K101" s="243"/>
      <c r="L101" s="243"/>
      <c r="M101" s="244"/>
      <c r="N101" s="143"/>
      <c r="O101" s="143"/>
      <c r="P101" s="143"/>
      <c r="Q101" s="143"/>
      <c r="R101" s="143"/>
      <c r="S101" s="244"/>
      <c r="T101" s="143"/>
      <c r="U101" s="143"/>
      <c r="V101" s="143"/>
      <c r="W101" s="143"/>
      <c r="X101" s="244"/>
      <c r="Y101" s="143"/>
      <c r="Z101" s="143"/>
      <c r="AA101" s="143"/>
      <c r="AB101" s="143"/>
      <c r="AC101" s="143"/>
      <c r="AD101" s="244"/>
      <c r="AE101" s="143"/>
      <c r="AF101" s="143"/>
      <c r="AG101" s="143"/>
      <c r="AH101" s="143"/>
      <c r="AI101" s="242"/>
      <c r="AJ101" s="143"/>
      <c r="AK101" s="143"/>
      <c r="AL101" s="143"/>
      <c r="AM101" s="143"/>
      <c r="AN101" s="244"/>
      <c r="AO101" s="143"/>
      <c r="AP101" s="143"/>
      <c r="AQ101" s="143"/>
      <c r="AR101" s="143"/>
      <c r="AS101" s="143"/>
      <c r="AT101" s="244"/>
      <c r="AU101" s="143"/>
      <c r="AV101" s="143"/>
      <c r="AW101" s="143"/>
      <c r="AX101" s="143"/>
      <c r="AY101" s="244"/>
      <c r="AZ101" s="143"/>
      <c r="BA101" s="143"/>
      <c r="BB101" s="143"/>
      <c r="BC101" s="143"/>
      <c r="BD101" s="244"/>
      <c r="BE101" s="143"/>
      <c r="BF101" s="143"/>
      <c r="BG101" s="143"/>
      <c r="BH101" s="143"/>
      <c r="BI101" s="143"/>
      <c r="BJ101" s="244"/>
      <c r="BK101" s="143"/>
      <c r="BL101" s="143"/>
      <c r="BM101" s="143"/>
      <c r="BN101" s="143"/>
      <c r="BO101" s="242"/>
      <c r="BP101" s="143">
        <f>SUM(D101:BO101)</f>
        <v>0</v>
      </c>
      <c r="BQ101" s="143">
        <f>BP101-BO101-BJ101-BD101-AY101-AT101-AN101-AI101-AD101-X101-S101-M101-H101</f>
        <v>0</v>
      </c>
      <c r="BR101" s="275">
        <f t="shared" si="19"/>
        <v>0</v>
      </c>
      <c r="BS101" s="246">
        <f t="shared" si="20"/>
        <v>98</v>
      </c>
      <c r="BT101" s="247">
        <f t="shared" si="21"/>
        <v>0</v>
      </c>
      <c r="BU101" s="247">
        <f t="shared" si="24"/>
        <v>0</v>
      </c>
    </row>
    <row r="102" spans="1:73" s="166" customFormat="1" ht="13.5">
      <c r="A102" s="246">
        <v>99</v>
      </c>
      <c r="B102"/>
      <c r="C102"/>
      <c r="D102" s="143"/>
      <c r="E102" s="143"/>
      <c r="F102" s="143"/>
      <c r="G102" s="143"/>
      <c r="H102" s="242"/>
      <c r="I102" s="143"/>
      <c r="J102" s="143"/>
      <c r="K102" s="243"/>
      <c r="L102" s="243"/>
      <c r="M102" s="244"/>
      <c r="N102" s="143"/>
      <c r="O102" s="143"/>
      <c r="P102" s="143"/>
      <c r="Q102" s="143"/>
      <c r="R102" s="143"/>
      <c r="S102" s="244"/>
      <c r="T102" s="143"/>
      <c r="U102" s="143"/>
      <c r="V102" s="143"/>
      <c r="W102" s="143"/>
      <c r="X102" s="244"/>
      <c r="Y102" s="143"/>
      <c r="Z102" s="143"/>
      <c r="AA102" s="143"/>
      <c r="AB102" s="143"/>
      <c r="AC102" s="143"/>
      <c r="AD102" s="244"/>
      <c r="AE102" s="143"/>
      <c r="AF102" s="143"/>
      <c r="AG102" s="143"/>
      <c r="AH102" s="143"/>
      <c r="AI102" s="242"/>
      <c r="AJ102" s="143"/>
      <c r="AK102" s="143"/>
      <c r="AL102" s="143"/>
      <c r="AM102" s="143"/>
      <c r="AN102" s="244"/>
      <c r="AO102" s="143"/>
      <c r="AP102" s="143"/>
      <c r="AQ102" s="143"/>
      <c r="AR102" s="143"/>
      <c r="AS102" s="143"/>
      <c r="AT102" s="244"/>
      <c r="AU102" s="143"/>
      <c r="AV102" s="143"/>
      <c r="AW102" s="143"/>
      <c r="AX102" s="143"/>
      <c r="AY102" s="244"/>
      <c r="AZ102" s="143"/>
      <c r="BA102" s="143"/>
      <c r="BB102" s="143"/>
      <c r="BC102" s="143"/>
      <c r="BD102" s="244"/>
      <c r="BE102" s="143"/>
      <c r="BF102" s="143"/>
      <c r="BG102" s="143"/>
      <c r="BH102" s="143"/>
      <c r="BI102" s="143"/>
      <c r="BJ102" s="244"/>
      <c r="BK102" s="143"/>
      <c r="BL102" s="143"/>
      <c r="BM102" s="143"/>
      <c r="BN102" s="143"/>
      <c r="BO102" s="242"/>
      <c r="BP102" s="143">
        <f>SUM(D102:BO102)</f>
        <v>0</v>
      </c>
      <c r="BQ102" s="143">
        <f>BP102-BO102-BJ102-BD102-AY102-AT102-AN102-AI102-AD102-X102-S102-M102-H102</f>
        <v>0</v>
      </c>
      <c r="BR102" s="275">
        <f t="shared" si="19"/>
        <v>0</v>
      </c>
      <c r="BS102" s="246">
        <f t="shared" si="20"/>
        <v>99</v>
      </c>
      <c r="BT102" s="247">
        <f t="shared" si="21"/>
        <v>0</v>
      </c>
      <c r="BU102" s="247">
        <f t="shared" si="24"/>
        <v>0</v>
      </c>
    </row>
    <row r="103" spans="1:73" s="166" customFormat="1" ht="15" thickBot="1">
      <c r="A103" s="246">
        <v>100</v>
      </c>
      <c r="B103"/>
      <c r="C103"/>
      <c r="D103" s="143"/>
      <c r="E103" s="143"/>
      <c r="F103" s="143"/>
      <c r="G103" s="143"/>
      <c r="H103" s="251"/>
      <c r="I103" s="143"/>
      <c r="J103" s="143"/>
      <c r="K103" s="243"/>
      <c r="L103" s="243"/>
      <c r="M103" s="244"/>
      <c r="N103" s="143"/>
      <c r="O103" s="143"/>
      <c r="P103" s="143"/>
      <c r="Q103" s="143"/>
      <c r="R103" s="143"/>
      <c r="S103" s="244"/>
      <c r="T103" s="143"/>
      <c r="U103" s="143"/>
      <c r="V103" s="143"/>
      <c r="W103" s="143"/>
      <c r="X103" s="252"/>
      <c r="Y103" s="143"/>
      <c r="Z103" s="143"/>
      <c r="AA103" s="143"/>
      <c r="AB103" s="143"/>
      <c r="AC103" s="143"/>
      <c r="AD103" s="244"/>
      <c r="AE103" s="143"/>
      <c r="AF103" s="143"/>
      <c r="AG103" s="143"/>
      <c r="AH103" s="143"/>
      <c r="AI103" s="242"/>
      <c r="AJ103" s="143"/>
      <c r="AK103" s="143"/>
      <c r="AL103" s="143"/>
      <c r="AM103" s="143"/>
      <c r="AN103" s="244"/>
      <c r="AO103" s="143"/>
      <c r="AP103" s="143"/>
      <c r="AQ103" s="143"/>
      <c r="AR103" s="143"/>
      <c r="AS103" s="143"/>
      <c r="AT103" s="244"/>
      <c r="AU103" s="143"/>
      <c r="AV103" s="143"/>
      <c r="AW103" s="143"/>
      <c r="AX103" s="143"/>
      <c r="AY103" s="244"/>
      <c r="AZ103" s="143"/>
      <c r="BA103" s="143"/>
      <c r="BB103" s="143"/>
      <c r="BC103" s="143"/>
      <c r="BD103" s="244"/>
      <c r="BE103" s="143"/>
      <c r="BF103" s="143"/>
      <c r="BG103" s="143"/>
      <c r="BH103" s="143"/>
      <c r="BI103" s="143"/>
      <c r="BJ103" s="244"/>
      <c r="BK103" s="143"/>
      <c r="BL103" s="143"/>
      <c r="BM103" s="143"/>
      <c r="BN103" s="143"/>
      <c r="BO103" s="242"/>
      <c r="BP103" s="143">
        <f>SUM(D103:BO103)</f>
        <v>0</v>
      </c>
      <c r="BQ103" s="143">
        <f>BP103-BO103-BJ103-BD103-AY103-AT103-AN103-AI103-AD103-X103-S103-M103-H103</f>
        <v>0</v>
      </c>
      <c r="BR103" s="275">
        <f t="shared" si="19"/>
        <v>0</v>
      </c>
      <c r="BS103" s="246">
        <f t="shared" si="20"/>
        <v>100</v>
      </c>
      <c r="BT103" s="247">
        <f t="shared" si="21"/>
        <v>0</v>
      </c>
      <c r="BU103" s="247">
        <f t="shared" si="24"/>
        <v>0</v>
      </c>
    </row>
    <row r="104" spans="1:72" ht="15" thickBot="1">
      <c r="A104" s="96" t="s">
        <v>97</v>
      </c>
      <c r="C104"/>
      <c r="D104" s="27">
        <f aca="true" t="shared" si="25" ref="D104:K104">SUM(D4:D103)</f>
        <v>0</v>
      </c>
      <c r="E104" s="28">
        <f t="shared" si="25"/>
        <v>0</v>
      </c>
      <c r="F104" s="28">
        <f t="shared" si="25"/>
        <v>0</v>
      </c>
      <c r="G104" s="28">
        <f t="shared" si="25"/>
        <v>0</v>
      </c>
      <c r="H104" s="28">
        <f>SUM(H4:H103)</f>
        <v>0</v>
      </c>
      <c r="I104" s="28">
        <f t="shared" si="25"/>
        <v>0</v>
      </c>
      <c r="J104" s="28">
        <f t="shared" si="25"/>
        <v>0</v>
      </c>
      <c r="K104" s="28">
        <f t="shared" si="25"/>
        <v>0</v>
      </c>
      <c r="L104" s="28">
        <f>SUM(L4:L103)</f>
        <v>0</v>
      </c>
      <c r="M104" s="29">
        <f>SUM(M4:M103)</f>
        <v>0</v>
      </c>
      <c r="N104" s="28">
        <f>SUM(N4:N103)</f>
        <v>0</v>
      </c>
      <c r="O104" s="28">
        <f aca="true" t="shared" si="26" ref="O104:X104">SUM(O4:O103)</f>
        <v>0</v>
      </c>
      <c r="P104" s="28">
        <f t="shared" si="26"/>
        <v>0</v>
      </c>
      <c r="Q104" s="28">
        <f t="shared" si="26"/>
        <v>0</v>
      </c>
      <c r="R104" s="28"/>
      <c r="S104" s="29">
        <f t="shared" si="26"/>
        <v>0</v>
      </c>
      <c r="T104" s="23">
        <f t="shared" si="26"/>
        <v>0</v>
      </c>
      <c r="U104" s="28">
        <f t="shared" si="26"/>
        <v>0</v>
      </c>
      <c r="V104" s="28">
        <f t="shared" si="26"/>
        <v>0</v>
      </c>
      <c r="W104" s="28">
        <f t="shared" si="26"/>
        <v>0</v>
      </c>
      <c r="X104" s="29">
        <f t="shared" si="26"/>
        <v>0</v>
      </c>
      <c r="Y104" s="28">
        <f aca="true" t="shared" si="27" ref="Y104:AE104">SUM(Y4:Y103)</f>
        <v>0</v>
      </c>
      <c r="Z104" s="28">
        <f t="shared" si="27"/>
        <v>0</v>
      </c>
      <c r="AA104" s="28">
        <f t="shared" si="27"/>
        <v>0</v>
      </c>
      <c r="AB104" s="28">
        <f t="shared" si="27"/>
        <v>0</v>
      </c>
      <c r="AC104" s="28">
        <f>SUM(AC4:AC103)</f>
        <v>0</v>
      </c>
      <c r="AD104" s="29">
        <f t="shared" si="27"/>
        <v>0</v>
      </c>
      <c r="AE104" s="28">
        <f t="shared" si="27"/>
        <v>0</v>
      </c>
      <c r="AF104" s="28">
        <f aca="true" t="shared" si="28" ref="AF104:AM104">SUM(AF4:AF103)</f>
        <v>0</v>
      </c>
      <c r="AG104" s="28">
        <f t="shared" si="28"/>
        <v>0</v>
      </c>
      <c r="AH104" s="28">
        <f>SUM(AH4:AH103)</f>
        <v>0</v>
      </c>
      <c r="AI104" s="29">
        <f t="shared" si="28"/>
        <v>0</v>
      </c>
      <c r="AJ104" s="28">
        <f t="shared" si="28"/>
        <v>0</v>
      </c>
      <c r="AK104" s="28">
        <f t="shared" si="28"/>
        <v>0</v>
      </c>
      <c r="AL104" s="28">
        <f t="shared" si="28"/>
        <v>0</v>
      </c>
      <c r="AM104" s="28">
        <f t="shared" si="28"/>
        <v>0</v>
      </c>
      <c r="AN104" s="29">
        <f aca="true" t="shared" si="29" ref="AN104:AT104">SUM(AN4:AN103)</f>
        <v>0</v>
      </c>
      <c r="AO104" s="28">
        <f t="shared" si="29"/>
        <v>0</v>
      </c>
      <c r="AP104" s="28">
        <f t="shared" si="29"/>
        <v>0</v>
      </c>
      <c r="AQ104" s="28">
        <f t="shared" si="29"/>
        <v>0</v>
      </c>
      <c r="AR104" s="28">
        <f t="shared" si="29"/>
        <v>0</v>
      </c>
      <c r="AS104" s="28">
        <f>SUM(AS4:AS103)</f>
        <v>0</v>
      </c>
      <c r="AT104" s="29">
        <f t="shared" si="29"/>
        <v>0</v>
      </c>
      <c r="AU104" s="28">
        <f aca="true" t="shared" si="30" ref="AU104:BC104">SUM(AU4:AU103)</f>
        <v>0</v>
      </c>
      <c r="AV104" s="28">
        <f t="shared" si="30"/>
        <v>0</v>
      </c>
      <c r="AW104" s="28">
        <f t="shared" si="30"/>
        <v>0</v>
      </c>
      <c r="AX104" s="28">
        <f>SUM(AX4:AX103)</f>
        <v>0</v>
      </c>
      <c r="AY104" s="29">
        <f t="shared" si="30"/>
        <v>0</v>
      </c>
      <c r="AZ104" s="28">
        <f t="shared" si="30"/>
        <v>0</v>
      </c>
      <c r="BA104" s="28">
        <f t="shared" si="30"/>
        <v>0</v>
      </c>
      <c r="BB104" s="28">
        <f t="shared" si="30"/>
        <v>0</v>
      </c>
      <c r="BC104" s="28">
        <f t="shared" si="30"/>
        <v>0</v>
      </c>
      <c r="BD104" s="29">
        <f aca="true" t="shared" si="31" ref="BD104:BL104">SUM(BD4:BD103)</f>
        <v>0</v>
      </c>
      <c r="BE104" s="28">
        <f t="shared" si="31"/>
        <v>0</v>
      </c>
      <c r="BF104" s="28">
        <f t="shared" si="31"/>
        <v>0</v>
      </c>
      <c r="BG104" s="28">
        <f t="shared" si="31"/>
        <v>0</v>
      </c>
      <c r="BH104" s="28">
        <f>SUM(BH4:BH103)</f>
        <v>0</v>
      </c>
      <c r="BI104" s="28">
        <f>SUM(BI4:BI103)</f>
        <v>0</v>
      </c>
      <c r="BJ104" s="29">
        <f t="shared" si="31"/>
        <v>0</v>
      </c>
      <c r="BK104" s="28">
        <f t="shared" si="31"/>
        <v>0</v>
      </c>
      <c r="BL104" s="28">
        <f t="shared" si="31"/>
        <v>0</v>
      </c>
      <c r="BM104" s="28">
        <f>SUM(BM4:BM103)</f>
        <v>0</v>
      </c>
      <c r="BN104" s="28"/>
      <c r="BO104" s="30">
        <f>SUM(BO4:BO103)</f>
        <v>0</v>
      </c>
      <c r="BP104" s="143">
        <f>SUM(D104:BO104)</f>
        <v>0</v>
      </c>
      <c r="BQ104" s="25">
        <f>BP104-BO104-BJ104-BD104-AY104-AT104-AN104-AI104-AD104-X104-S104-M104-H104</f>
        <v>0</v>
      </c>
      <c r="BR104" s="23">
        <f t="shared" si="19"/>
        <v>0</v>
      </c>
      <c r="BS104" s="164"/>
      <c r="BT104" s="36"/>
    </row>
    <row r="105" spans="2:72" ht="15" thickTop="1">
      <c r="B105" s="32"/>
      <c r="C105" s="32"/>
      <c r="D105" s="114">
        <f aca="true" t="shared" si="32" ref="D105:AD105">D3</f>
        <v>42373</v>
      </c>
      <c r="E105" s="115">
        <f t="shared" si="32"/>
        <v>42380</v>
      </c>
      <c r="F105" s="115">
        <f t="shared" si="32"/>
        <v>42387</v>
      </c>
      <c r="G105" s="115">
        <f t="shared" si="32"/>
        <v>42394</v>
      </c>
      <c r="H105" s="115" t="str">
        <f>H3</f>
        <v>Designated</v>
      </c>
      <c r="I105" s="115">
        <f t="shared" si="32"/>
        <v>42401</v>
      </c>
      <c r="J105" s="115">
        <f t="shared" si="32"/>
        <v>42408</v>
      </c>
      <c r="K105" s="115">
        <f t="shared" si="32"/>
        <v>42415</v>
      </c>
      <c r="L105" s="115">
        <f>L3</f>
        <v>42422</v>
      </c>
      <c r="M105" s="120" t="str">
        <f t="shared" si="32"/>
        <v>Designated</v>
      </c>
      <c r="N105" s="115">
        <f t="shared" si="32"/>
        <v>42429</v>
      </c>
      <c r="O105" s="115">
        <f t="shared" si="32"/>
        <v>42436</v>
      </c>
      <c r="P105" s="115">
        <f t="shared" si="32"/>
        <v>42443</v>
      </c>
      <c r="Q105" s="115">
        <f t="shared" si="32"/>
        <v>42450</v>
      </c>
      <c r="R105" s="115"/>
      <c r="S105" s="120" t="str">
        <f t="shared" si="32"/>
        <v>Designated</v>
      </c>
      <c r="T105" s="33">
        <f t="shared" si="32"/>
        <v>42464</v>
      </c>
      <c r="U105" s="115">
        <f t="shared" si="32"/>
        <v>42471</v>
      </c>
      <c r="V105" s="115">
        <f t="shared" si="32"/>
        <v>42478</v>
      </c>
      <c r="W105" s="115">
        <f t="shared" si="32"/>
        <v>42485</v>
      </c>
      <c r="X105" s="115" t="str">
        <f t="shared" si="32"/>
        <v>Designated</v>
      </c>
      <c r="Y105" s="115">
        <f t="shared" si="32"/>
        <v>42492</v>
      </c>
      <c r="Z105" s="115">
        <f t="shared" si="32"/>
        <v>42499</v>
      </c>
      <c r="AA105" s="115">
        <f t="shared" si="32"/>
        <v>42506</v>
      </c>
      <c r="AB105" s="115">
        <f t="shared" si="32"/>
        <v>42513</v>
      </c>
      <c r="AC105" s="115">
        <f>AC3</f>
        <v>42520</v>
      </c>
      <c r="AD105" s="120" t="str">
        <f t="shared" si="32"/>
        <v>Designated</v>
      </c>
      <c r="AE105" s="115">
        <f aca="true" t="shared" si="33" ref="AE105:BJ105">AE3</f>
        <v>42527</v>
      </c>
      <c r="AF105" s="115">
        <f t="shared" si="33"/>
        <v>42534</v>
      </c>
      <c r="AG105" s="115">
        <f t="shared" si="33"/>
        <v>42541</v>
      </c>
      <c r="AH105" s="115">
        <f>AH3</f>
        <v>42548</v>
      </c>
      <c r="AI105" s="120" t="str">
        <f t="shared" si="33"/>
        <v>Designated</v>
      </c>
      <c r="AJ105" s="115">
        <f t="shared" si="33"/>
        <v>42555</v>
      </c>
      <c r="AK105" s="115">
        <f t="shared" si="33"/>
        <v>42562</v>
      </c>
      <c r="AL105" s="115">
        <f t="shared" si="33"/>
        <v>42569</v>
      </c>
      <c r="AM105" s="115">
        <f t="shared" si="33"/>
        <v>42576</v>
      </c>
      <c r="AN105" s="120" t="str">
        <f>AN3</f>
        <v>Designated</v>
      </c>
      <c r="AO105" s="115">
        <f t="shared" si="33"/>
        <v>42583</v>
      </c>
      <c r="AP105" s="115">
        <f t="shared" si="33"/>
        <v>42590</v>
      </c>
      <c r="AQ105" s="115">
        <f t="shared" si="33"/>
        <v>42597</v>
      </c>
      <c r="AR105" s="115">
        <f>AR3</f>
        <v>42604</v>
      </c>
      <c r="AS105" s="115">
        <f>AS3</f>
        <v>42611</v>
      </c>
      <c r="AT105" s="120" t="str">
        <f t="shared" si="33"/>
        <v>Designated</v>
      </c>
      <c r="AU105" s="115">
        <f t="shared" si="33"/>
        <v>42618</v>
      </c>
      <c r="AV105" s="115">
        <f t="shared" si="33"/>
        <v>42625</v>
      </c>
      <c r="AW105" s="115">
        <f t="shared" si="33"/>
        <v>42632</v>
      </c>
      <c r="AX105" s="115">
        <f>AX3</f>
        <v>42639</v>
      </c>
      <c r="AY105" s="120" t="str">
        <f t="shared" si="33"/>
        <v>Designated</v>
      </c>
      <c r="AZ105" s="115">
        <f t="shared" si="33"/>
        <v>42646</v>
      </c>
      <c r="BA105" s="115">
        <f t="shared" si="33"/>
        <v>42653</v>
      </c>
      <c r="BB105" s="115">
        <f t="shared" si="33"/>
        <v>42660</v>
      </c>
      <c r="BC105" s="115">
        <f t="shared" si="33"/>
        <v>42667</v>
      </c>
      <c r="BD105" s="120" t="str">
        <f t="shared" si="33"/>
        <v>Designated</v>
      </c>
      <c r="BE105" s="115">
        <f t="shared" si="33"/>
        <v>42674</v>
      </c>
      <c r="BF105" s="115">
        <f t="shared" si="33"/>
        <v>42681</v>
      </c>
      <c r="BG105" s="115">
        <f t="shared" si="33"/>
        <v>42688</v>
      </c>
      <c r="BH105" s="115">
        <f>BH3</f>
        <v>42695</v>
      </c>
      <c r="BI105" s="115">
        <f>BI3</f>
        <v>42702</v>
      </c>
      <c r="BJ105" s="120" t="str">
        <f t="shared" si="33"/>
        <v>Designated</v>
      </c>
      <c r="BK105" s="115">
        <f>BK3</f>
        <v>42709</v>
      </c>
      <c r="BL105" s="115">
        <f>BL3</f>
        <v>42716</v>
      </c>
      <c r="BM105" s="115">
        <f>BM3</f>
        <v>42723</v>
      </c>
      <c r="BN105" s="115"/>
      <c r="BO105" s="116" t="str">
        <f>BO3</f>
        <v>Designated</v>
      </c>
      <c r="BP105" s="143"/>
      <c r="BQ105" s="143"/>
      <c r="BR105" s="276"/>
      <c r="BS105" s="164"/>
      <c r="BT105" s="36"/>
    </row>
    <row r="106" spans="1:72" ht="15" thickBot="1">
      <c r="A106" s="32"/>
      <c r="D106" s="117" t="str">
        <f aca="true" t="shared" si="34" ref="D106:S106">D2</f>
        <v>Sunday</v>
      </c>
      <c r="E106" s="118" t="str">
        <f t="shared" si="34"/>
        <v>Sunday</v>
      </c>
      <c r="F106" s="118" t="str">
        <f t="shared" si="34"/>
        <v>Sunday</v>
      </c>
      <c r="G106" s="118" t="str">
        <f t="shared" si="34"/>
        <v>Sunday</v>
      </c>
      <c r="H106" s="118" t="str">
        <f>H2</f>
        <v>January</v>
      </c>
      <c r="I106" s="118" t="str">
        <f t="shared" si="34"/>
        <v>Sunday</v>
      </c>
      <c r="J106" s="118" t="str">
        <f t="shared" si="34"/>
        <v>Sunday</v>
      </c>
      <c r="K106" s="118" t="str">
        <f t="shared" si="34"/>
        <v>Sunday</v>
      </c>
      <c r="L106" s="118" t="s">
        <v>84</v>
      </c>
      <c r="M106" s="121" t="str">
        <f t="shared" si="34"/>
        <v>February</v>
      </c>
      <c r="N106" s="118" t="str">
        <f t="shared" si="34"/>
        <v>Sunday</v>
      </c>
      <c r="O106" s="118" t="str">
        <f t="shared" si="34"/>
        <v>Sunday</v>
      </c>
      <c r="P106" s="118" t="str">
        <f t="shared" si="34"/>
        <v>Sunday</v>
      </c>
      <c r="Q106" s="118" t="str">
        <f t="shared" si="34"/>
        <v>Sunday</v>
      </c>
      <c r="R106" s="118"/>
      <c r="S106" s="121" t="str">
        <f t="shared" si="34"/>
        <v>March</v>
      </c>
      <c r="T106" s="258" t="str">
        <f aca="true" t="shared" si="35" ref="T106:AB106">T2</f>
        <v>Sunday</v>
      </c>
      <c r="U106" s="118" t="str">
        <f t="shared" si="35"/>
        <v>Sunday</v>
      </c>
      <c r="V106" s="118" t="str">
        <f t="shared" si="35"/>
        <v>Sunday</v>
      </c>
      <c r="W106" s="118" t="str">
        <f t="shared" si="35"/>
        <v>Sunday</v>
      </c>
      <c r="X106" s="118" t="str">
        <f t="shared" si="35"/>
        <v>April</v>
      </c>
      <c r="Y106" s="118" t="str">
        <f t="shared" si="35"/>
        <v>Sunday</v>
      </c>
      <c r="Z106" s="118" t="str">
        <f t="shared" si="35"/>
        <v>Sunday</v>
      </c>
      <c r="AA106" s="118" t="str">
        <f t="shared" si="35"/>
        <v>Sunday</v>
      </c>
      <c r="AB106" s="118" t="str">
        <f t="shared" si="35"/>
        <v>Sunday</v>
      </c>
      <c r="AC106" s="118" t="str">
        <f>AC2</f>
        <v>Sunday</v>
      </c>
      <c r="AD106" s="121" t="str">
        <f aca="true" t="shared" si="36" ref="AD106:AM106">AD2</f>
        <v>May</v>
      </c>
      <c r="AE106" s="118" t="str">
        <f t="shared" si="36"/>
        <v>Sunday</v>
      </c>
      <c r="AF106" s="118" t="str">
        <f t="shared" si="36"/>
        <v>Sunday</v>
      </c>
      <c r="AG106" s="118" t="str">
        <f t="shared" si="36"/>
        <v>Sunday</v>
      </c>
      <c r="AH106" s="118" t="str">
        <f>AH2</f>
        <v>Sunday</v>
      </c>
      <c r="AI106" s="121" t="str">
        <f t="shared" si="36"/>
        <v>June</v>
      </c>
      <c r="AJ106" s="118" t="str">
        <f t="shared" si="36"/>
        <v>Sunday</v>
      </c>
      <c r="AK106" s="118" t="str">
        <f t="shared" si="36"/>
        <v>Sunday</v>
      </c>
      <c r="AL106" s="118" t="str">
        <f t="shared" si="36"/>
        <v>Sunday</v>
      </c>
      <c r="AM106" s="118" t="str">
        <f t="shared" si="36"/>
        <v>Sunday</v>
      </c>
      <c r="AN106" s="121" t="str">
        <f>AN2</f>
        <v>July</v>
      </c>
      <c r="AO106" s="118" t="str">
        <f aca="true" t="shared" si="37" ref="AO106:BJ106">AO2</f>
        <v>Sunday</v>
      </c>
      <c r="AP106" s="118" t="str">
        <f t="shared" si="37"/>
        <v>Sunday</v>
      </c>
      <c r="AQ106" s="118" t="str">
        <f t="shared" si="37"/>
        <v>Sunday</v>
      </c>
      <c r="AR106" s="118" t="str">
        <f>AR2</f>
        <v>Sunday</v>
      </c>
      <c r="AS106" s="118" t="str">
        <f>AS2</f>
        <v>Sunday</v>
      </c>
      <c r="AT106" s="121" t="str">
        <f t="shared" si="37"/>
        <v>August</v>
      </c>
      <c r="AU106" s="118" t="str">
        <f t="shared" si="37"/>
        <v>Sunday</v>
      </c>
      <c r="AV106" s="118" t="str">
        <f t="shared" si="37"/>
        <v>Sunday</v>
      </c>
      <c r="AW106" s="118" t="str">
        <f t="shared" si="37"/>
        <v>Sunday</v>
      </c>
      <c r="AX106" s="118" t="str">
        <f>AX2</f>
        <v>Sunday</v>
      </c>
      <c r="AY106" s="121" t="str">
        <f t="shared" si="37"/>
        <v>September</v>
      </c>
      <c r="AZ106" s="118" t="str">
        <f t="shared" si="37"/>
        <v>Sunday</v>
      </c>
      <c r="BA106" s="118" t="str">
        <f t="shared" si="37"/>
        <v>Sunday</v>
      </c>
      <c r="BB106" s="118" t="str">
        <f t="shared" si="37"/>
        <v>Sunday</v>
      </c>
      <c r="BC106" s="118" t="str">
        <f t="shared" si="37"/>
        <v>October</v>
      </c>
      <c r="BD106" s="121" t="str">
        <f t="shared" si="37"/>
        <v>October</v>
      </c>
      <c r="BE106" s="118" t="str">
        <f t="shared" si="37"/>
        <v>Sunday</v>
      </c>
      <c r="BF106" s="118" t="str">
        <f t="shared" si="37"/>
        <v>Sunday</v>
      </c>
      <c r="BG106" s="118" t="str">
        <f t="shared" si="37"/>
        <v>Sunday</v>
      </c>
      <c r="BH106" s="118" t="str">
        <f>BH2</f>
        <v>Sunday</v>
      </c>
      <c r="BI106" s="118" t="str">
        <f>BI2</f>
        <v>Sunday</v>
      </c>
      <c r="BJ106" s="121" t="str">
        <f t="shared" si="37"/>
        <v>November</v>
      </c>
      <c r="BK106" s="118" t="str">
        <f>BK2</f>
        <v>Sunday</v>
      </c>
      <c r="BL106" s="118" t="str">
        <f>BL2</f>
        <v>Sunday</v>
      </c>
      <c r="BM106" s="118" t="str">
        <f>BM2</f>
        <v>Sunday</v>
      </c>
      <c r="BN106" s="118"/>
      <c r="BO106" s="119" t="str">
        <f>BO2</f>
        <v>December</v>
      </c>
      <c r="BP106" s="165"/>
      <c r="BQ106" s="165"/>
      <c r="BR106" s="277"/>
      <c r="BS106" s="164"/>
      <c r="BT106" s="36"/>
    </row>
    <row r="107" spans="4:72" ht="13.5">
      <c r="D107" s="25"/>
      <c r="E107" s="25"/>
      <c r="F107" s="25"/>
      <c r="G107" s="25"/>
      <c r="H107" s="25"/>
      <c r="I107" s="25"/>
      <c r="J107" s="25"/>
      <c r="K107" s="25"/>
      <c r="L107" s="25"/>
      <c r="M107" s="25"/>
      <c r="N107" s="25"/>
      <c r="O107" s="25"/>
      <c r="P107" s="25"/>
      <c r="Q107" s="25"/>
      <c r="R107" s="25"/>
      <c r="S107" s="161"/>
      <c r="T107" s="25"/>
      <c r="U107" s="25"/>
      <c r="V107" s="25"/>
      <c r="W107" s="25"/>
      <c r="X107" s="25"/>
      <c r="Y107" s="25"/>
      <c r="Z107" s="25"/>
      <c r="AA107" s="25"/>
      <c r="AB107" s="25"/>
      <c r="AC107" s="25"/>
      <c r="AD107" s="161"/>
      <c r="AE107" s="25"/>
      <c r="AF107" s="25"/>
      <c r="AG107" s="25"/>
      <c r="AH107" s="25"/>
      <c r="AI107" s="25"/>
      <c r="AJ107" s="25"/>
      <c r="AK107" s="25"/>
      <c r="AL107" s="25"/>
      <c r="AM107" s="25"/>
      <c r="AN107" s="161"/>
      <c r="AO107" s="25"/>
      <c r="AP107" s="25"/>
      <c r="AQ107" s="25"/>
      <c r="AR107" s="25"/>
      <c r="AS107" s="25"/>
      <c r="AT107" s="161"/>
      <c r="AU107" s="25"/>
      <c r="AV107" s="25"/>
      <c r="AW107" s="25"/>
      <c r="AX107" s="25"/>
      <c r="AY107" s="161"/>
      <c r="AZ107" s="25"/>
      <c r="BA107" s="25"/>
      <c r="BB107" s="25"/>
      <c r="BC107" s="25"/>
      <c r="BD107" s="161"/>
      <c r="BE107" s="25"/>
      <c r="BF107" s="25"/>
      <c r="BG107" s="25"/>
      <c r="BH107" s="25"/>
      <c r="BI107" s="25"/>
      <c r="BJ107" s="161"/>
      <c r="BK107" s="25"/>
      <c r="BL107" s="25"/>
      <c r="BM107" s="25"/>
      <c r="BN107" s="25"/>
      <c r="BO107" s="25"/>
      <c r="BP107" s="143"/>
      <c r="BQ107" s="143"/>
      <c r="BR107" s="276"/>
      <c r="BS107" s="164"/>
      <c r="BT107" s="36"/>
    </row>
    <row r="108" spans="4:72" ht="13.5">
      <c r="D108" s="34"/>
      <c r="E108" s="34"/>
      <c r="F108" s="34"/>
      <c r="G108" s="34"/>
      <c r="H108" s="34"/>
      <c r="I108" s="34"/>
      <c r="J108" s="34"/>
      <c r="K108" s="34"/>
      <c r="L108" s="34"/>
      <c r="M108" s="34"/>
      <c r="N108" s="34"/>
      <c r="O108" s="34"/>
      <c r="P108" s="34"/>
      <c r="Q108" s="34"/>
      <c r="R108" s="34"/>
      <c r="S108" s="260"/>
      <c r="T108" s="34"/>
      <c r="U108" s="34"/>
      <c r="V108" s="34"/>
      <c r="W108" s="34"/>
      <c r="X108" s="34"/>
      <c r="Y108" s="34"/>
      <c r="Z108" s="34"/>
      <c r="AA108" s="34"/>
      <c r="AB108" s="34"/>
      <c r="AC108" s="34"/>
      <c r="AD108" s="260"/>
      <c r="AE108" s="34"/>
      <c r="AF108" s="34"/>
      <c r="AG108" s="34"/>
      <c r="AH108" s="34"/>
      <c r="AI108" s="34"/>
      <c r="AJ108" s="34"/>
      <c r="AK108" s="34"/>
      <c r="AL108" s="34"/>
      <c r="AM108" s="34"/>
      <c r="AN108" s="260"/>
      <c r="AO108" s="34"/>
      <c r="AP108" s="34"/>
      <c r="AQ108" s="34"/>
      <c r="AR108" s="34"/>
      <c r="AS108" s="34"/>
      <c r="AT108" s="260"/>
      <c r="AU108" s="34"/>
      <c r="AV108" s="34"/>
      <c r="AW108" s="34"/>
      <c r="AX108" s="34"/>
      <c r="AY108" s="260"/>
      <c r="AZ108" s="34"/>
      <c r="BA108" s="34"/>
      <c r="BB108" s="34"/>
      <c r="BC108" s="34"/>
      <c r="BD108" s="260"/>
      <c r="BE108" s="34"/>
      <c r="BF108" s="34"/>
      <c r="BG108" s="34"/>
      <c r="BH108" s="34"/>
      <c r="BI108" s="34"/>
      <c r="BJ108" s="260"/>
      <c r="BK108" s="34"/>
      <c r="BL108" s="34"/>
      <c r="BM108" s="34"/>
      <c r="BN108" s="34"/>
      <c r="BO108" s="34"/>
      <c r="BP108" s="165"/>
      <c r="BQ108" s="165"/>
      <c r="BR108" s="278"/>
      <c r="BS108" s="164"/>
      <c r="BT108" s="36"/>
    </row>
    <row r="109" spans="4:71" ht="13.5">
      <c r="D109" s="35"/>
      <c r="E109" s="35"/>
      <c r="F109" s="35"/>
      <c r="G109" s="35"/>
      <c r="H109" s="36"/>
      <c r="I109" s="35"/>
      <c r="J109" s="35"/>
      <c r="K109" s="36"/>
      <c r="L109" s="36"/>
      <c r="M109" s="35"/>
      <c r="N109" s="35"/>
      <c r="O109" s="35"/>
      <c r="P109" s="35"/>
      <c r="Q109" s="35"/>
      <c r="R109" s="35"/>
      <c r="S109" s="261"/>
      <c r="T109" s="35"/>
      <c r="U109" s="35"/>
      <c r="V109" s="35"/>
      <c r="W109" s="35"/>
      <c r="X109" s="35"/>
      <c r="Y109" s="35"/>
      <c r="Z109" s="35"/>
      <c r="AA109" s="35"/>
      <c r="AB109" s="35"/>
      <c r="AC109" s="35"/>
      <c r="AD109" s="261"/>
      <c r="AE109" s="35"/>
      <c r="AF109" s="35"/>
      <c r="AG109" s="35"/>
      <c r="AH109" s="35"/>
      <c r="AI109" s="36"/>
      <c r="AJ109" s="35"/>
      <c r="AK109" s="35"/>
      <c r="AL109" s="35"/>
      <c r="AM109" s="35"/>
      <c r="AN109" s="261"/>
      <c r="AO109" s="35"/>
      <c r="AP109" s="35"/>
      <c r="AQ109" s="35"/>
      <c r="AR109" s="35"/>
      <c r="AS109" s="35"/>
      <c r="AT109" s="261"/>
      <c r="AU109" s="35"/>
      <c r="AV109" s="35"/>
      <c r="AW109" s="35"/>
      <c r="AX109" s="35"/>
      <c r="AY109" s="261"/>
      <c r="AZ109" s="35"/>
      <c r="BA109" s="35"/>
      <c r="BB109" s="35"/>
      <c r="BC109" s="35"/>
      <c r="BD109" s="261"/>
      <c r="BE109" s="35"/>
      <c r="BF109" s="35"/>
      <c r="BG109" s="35"/>
      <c r="BH109" s="35"/>
      <c r="BI109" s="35"/>
      <c r="BJ109" s="261"/>
      <c r="BK109" s="35"/>
      <c r="BL109" s="35"/>
      <c r="BM109" s="35"/>
      <c r="BN109" s="35"/>
      <c r="BO109" s="36"/>
      <c r="BP109" s="143"/>
      <c r="BQ109" s="143"/>
      <c r="BR109" s="279"/>
      <c r="BS109" s="166"/>
    </row>
    <row r="110" spans="2:71" ht="13.5">
      <c r="B110" s="32"/>
      <c r="C110" s="32"/>
      <c r="BP110" s="143"/>
      <c r="BQ110" s="143"/>
      <c r="BR110" s="279"/>
      <c r="BS110" s="166"/>
    </row>
    <row r="111" spans="1:71" ht="13.5">
      <c r="A111" s="32"/>
      <c r="H111" s="21"/>
      <c r="K111" s="21"/>
      <c r="L111" s="21"/>
      <c r="AI111" s="21"/>
      <c r="BO111" s="21"/>
      <c r="BP111" s="143"/>
      <c r="BQ111" s="143"/>
      <c r="BR111" s="280"/>
      <c r="BS111" s="166"/>
    </row>
  </sheetData>
  <sheetProtection/>
  <printOptions gridLines="1"/>
  <pageMargins left="0.39" right="0.49" top="1" bottom="1" header="0.43" footer="0.5"/>
  <pageSetup fitToHeight="5" fitToWidth="2"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L63"/>
  <sheetViews>
    <sheetView zoomScalePageLayoutView="0" workbookViewId="0" topLeftCell="A1">
      <pane xSplit="1" ySplit="5" topLeftCell="B6" activePane="bottomRight" state="frozen"/>
      <selection pane="topLeft" activeCell="D12" sqref="D12"/>
      <selection pane="topRight" activeCell="D12" sqref="D12"/>
      <selection pane="bottomLeft" activeCell="D12" sqref="D12"/>
      <selection pane="bottomRight" activeCell="E14" sqref="E14"/>
    </sheetView>
  </sheetViews>
  <sheetFormatPr defaultColWidth="11.375" defaultRowHeight="12.75"/>
  <cols>
    <col min="1" max="1" width="24.75390625" style="0" customWidth="1"/>
    <col min="2" max="5" width="13.75390625" style="146" customWidth="1"/>
    <col min="6" max="6" width="25.375" style="146" customWidth="1"/>
    <col min="7" max="7" width="24.75390625" style="0" customWidth="1"/>
    <col min="8" max="8" width="20.00390625" style="0" customWidth="1"/>
  </cols>
  <sheetData>
    <row r="1" spans="1:6" ht="13.5">
      <c r="A1" s="153">
        <f ca="1">TODAY()</f>
        <v>42757</v>
      </c>
      <c r="B1" s="123" t="s">
        <v>98</v>
      </c>
      <c r="C1" s="123"/>
      <c r="D1" s="123"/>
      <c r="E1" s="25"/>
      <c r="F1" s="25"/>
    </row>
    <row r="2" spans="1:6" ht="13.5">
      <c r="A2" s="21"/>
      <c r="B2" s="123" t="s">
        <v>99</v>
      </c>
      <c r="C2" s="123"/>
      <c r="D2" s="123"/>
      <c r="E2"/>
      <c r="F2"/>
    </row>
    <row r="3" spans="1:6" ht="15" thickBot="1">
      <c r="A3" s="21"/>
      <c r="B3" s="25"/>
      <c r="C3" s="25"/>
      <c r="D3" s="25"/>
      <c r="E3" s="25"/>
      <c r="F3" s="25"/>
    </row>
    <row r="4" spans="2:6" ht="13.5">
      <c r="B4" s="124" t="s">
        <v>100</v>
      </c>
      <c r="C4" s="125" t="s">
        <v>101</v>
      </c>
      <c r="D4" s="126" t="s">
        <v>102</v>
      </c>
      <c r="E4" s="126" t="s">
        <v>103</v>
      </c>
      <c r="F4" s="126"/>
    </row>
    <row r="5" spans="1:6" ht="15" thickBot="1">
      <c r="A5" s="127" t="s">
        <v>104</v>
      </c>
      <c r="B5" s="128" t="s">
        <v>2</v>
      </c>
      <c r="C5" s="281">
        <v>2020</v>
      </c>
      <c r="D5" s="282">
        <v>2019</v>
      </c>
      <c r="E5" s="152" t="s">
        <v>149</v>
      </c>
      <c r="F5" s="129"/>
    </row>
    <row r="6" spans="1:6" ht="13.5">
      <c r="A6" s="130" t="s">
        <v>148</v>
      </c>
      <c r="B6" s="131">
        <v>1636</v>
      </c>
      <c r="C6" s="132">
        <f>B6</f>
        <v>1636</v>
      </c>
      <c r="D6" s="25">
        <v>1420</v>
      </c>
      <c r="E6" s="25">
        <f aca="true" t="shared" si="0" ref="E6:E12">C6-D6</f>
        <v>216</v>
      </c>
      <c r="F6" s="25"/>
    </row>
    <row r="7" spans="1:6" ht="13.5">
      <c r="A7" s="133" t="s">
        <v>105</v>
      </c>
      <c r="B7" s="131">
        <v>156</v>
      </c>
      <c r="C7" s="132">
        <f>B7</f>
        <v>156</v>
      </c>
      <c r="D7" s="25">
        <v>214</v>
      </c>
      <c r="E7" s="25">
        <f t="shared" si="0"/>
        <v>-58</v>
      </c>
      <c r="F7" s="25"/>
    </row>
    <row r="8" spans="1:6" ht="13.5">
      <c r="A8" s="133" t="s">
        <v>92</v>
      </c>
      <c r="B8" s="131">
        <v>2715</v>
      </c>
      <c r="C8" s="132">
        <f>B8</f>
        <v>2715</v>
      </c>
      <c r="D8" s="25">
        <v>4074</v>
      </c>
      <c r="E8" s="25">
        <f t="shared" si="0"/>
        <v>-1359</v>
      </c>
      <c r="F8" s="25"/>
    </row>
    <row r="9" spans="1:6" ht="13.5">
      <c r="A9" s="133" t="s">
        <v>106</v>
      </c>
      <c r="B9" s="131">
        <v>94</v>
      </c>
      <c r="C9" s="132">
        <f>B9</f>
        <v>94</v>
      </c>
      <c r="D9" s="25">
        <v>878</v>
      </c>
      <c r="E9" s="25">
        <f t="shared" si="0"/>
        <v>-784</v>
      </c>
      <c r="F9" s="25"/>
    </row>
    <row r="10" spans="1:6" ht="13.5">
      <c r="A10" s="133" t="s">
        <v>107</v>
      </c>
      <c r="B10" s="131">
        <f>F24</f>
        <v>0</v>
      </c>
      <c r="C10" s="132">
        <f>B10</f>
        <v>0</v>
      </c>
      <c r="D10" s="25">
        <v>300</v>
      </c>
      <c r="E10" s="25">
        <f t="shared" si="0"/>
        <v>-300</v>
      </c>
      <c r="F10" s="25"/>
    </row>
    <row r="11" spans="1:6" ht="15" thickBot="1">
      <c r="A11" s="134" t="s">
        <v>108</v>
      </c>
      <c r="B11" s="131">
        <f>F25</f>
        <v>4601</v>
      </c>
      <c r="C11" s="132">
        <v>4601</v>
      </c>
      <c r="D11" s="25">
        <v>5466</v>
      </c>
      <c r="E11" s="25">
        <f t="shared" si="0"/>
        <v>-865</v>
      </c>
      <c r="F11" s="25"/>
    </row>
    <row r="12" spans="1:7" ht="15" thickBot="1">
      <c r="A12" s="185" t="s">
        <v>109</v>
      </c>
      <c r="B12" s="186">
        <f>F26</f>
        <v>4507</v>
      </c>
      <c r="C12" s="186">
        <f>B12</f>
        <v>4507</v>
      </c>
      <c r="D12" s="25">
        <v>5708</v>
      </c>
      <c r="E12" s="25">
        <f t="shared" si="0"/>
        <v>-1201</v>
      </c>
      <c r="F12" s="25"/>
      <c r="G12" s="21"/>
    </row>
    <row r="13" spans="1:6" ht="13.5">
      <c r="A13" s="22" t="s">
        <v>110</v>
      </c>
      <c r="B13" s="131">
        <v>9106.33</v>
      </c>
      <c r="C13" s="132">
        <v>9106.33</v>
      </c>
      <c r="D13" s="25">
        <v>8350</v>
      </c>
      <c r="E13" s="25">
        <v>-756.33</v>
      </c>
      <c r="F13" s="25"/>
    </row>
    <row r="14" spans="1:6" ht="15" thickBot="1">
      <c r="A14" s="22" t="s">
        <v>111</v>
      </c>
      <c r="B14" s="283">
        <f>B12-B13</f>
        <v>-4599.33</v>
      </c>
      <c r="C14" s="284">
        <f>C12-C13</f>
        <v>-4599.33</v>
      </c>
      <c r="D14" s="25">
        <f>D12-D13</f>
        <v>-2642</v>
      </c>
      <c r="E14" s="163"/>
      <c r="F14" s="25"/>
    </row>
    <row r="15" spans="1:6" ht="13.5">
      <c r="A15" s="22" t="s">
        <v>112</v>
      </c>
      <c r="B15" s="156">
        <f>B12/B13</f>
        <v>0.49493044947854953</v>
      </c>
      <c r="C15" s="156">
        <f>C12/C13</f>
        <v>0.49493044947854953</v>
      </c>
      <c r="D15" s="156">
        <f>D12/D13</f>
        <v>0.6835928143712575</v>
      </c>
      <c r="E15" s="25"/>
      <c r="F15" s="25"/>
    </row>
    <row r="16" spans="2:12" ht="13.5">
      <c r="B16" s="25"/>
      <c r="C16" s="25"/>
      <c r="D16" s="25"/>
      <c r="E16" s="25"/>
      <c r="F16" s="21"/>
      <c r="G16" s="22"/>
      <c r="H16" s="25"/>
      <c r="I16" s="25"/>
      <c r="J16" s="25"/>
      <c r="K16" s="25"/>
      <c r="L16" s="21"/>
    </row>
    <row r="17" spans="2:12" ht="13.5">
      <c r="B17" s="137" t="s">
        <v>84</v>
      </c>
      <c r="C17" s="137" t="s">
        <v>84</v>
      </c>
      <c r="D17" s="137" t="s">
        <v>84</v>
      </c>
      <c r="E17" s="137" t="s">
        <v>84</v>
      </c>
      <c r="F17" s="31" t="s">
        <v>113</v>
      </c>
      <c r="G17" s="22"/>
      <c r="H17" s="25"/>
      <c r="I17" s="25"/>
      <c r="J17" s="25"/>
      <c r="K17" s="25"/>
      <c r="L17" s="21"/>
    </row>
    <row r="18" spans="1:12" ht="15" thickBot="1">
      <c r="A18" s="138" t="s">
        <v>114</v>
      </c>
      <c r="B18" s="139">
        <f>'2020 Wkly Log'!D3</f>
        <v>42373</v>
      </c>
      <c r="C18" s="139">
        <f>'2020 Wkly Log'!E3</f>
        <v>42380</v>
      </c>
      <c r="D18" s="139">
        <f>'2020 Wkly Log'!F3</f>
        <v>42387</v>
      </c>
      <c r="E18" s="139">
        <f>'2020 Wkly Log'!G3</f>
        <v>42394</v>
      </c>
      <c r="F18" s="151" t="str">
        <f>B5</f>
        <v>January</v>
      </c>
      <c r="G18" s="22"/>
      <c r="H18" s="25"/>
      <c r="I18" s="25"/>
      <c r="J18" s="25"/>
      <c r="K18" s="25"/>
      <c r="L18" s="21"/>
    </row>
    <row r="19" spans="1:12" ht="13.5">
      <c r="A19" s="22"/>
      <c r="B19" s="25"/>
      <c r="C19" s="25"/>
      <c r="D19" s="25"/>
      <c r="E19" s="25"/>
      <c r="F19" s="140"/>
      <c r="G19" s="21"/>
      <c r="H19" s="21"/>
      <c r="I19" s="21"/>
      <c r="J19" s="21"/>
      <c r="K19" s="21"/>
      <c r="L19" s="21"/>
    </row>
    <row r="20" spans="1:6" ht="13.5">
      <c r="A20" s="22" t="s">
        <v>105</v>
      </c>
      <c r="B20" s="25">
        <v>41</v>
      </c>
      <c r="C20" s="25">
        <v>4</v>
      </c>
      <c r="D20" s="25">
        <v>29</v>
      </c>
      <c r="E20" s="25">
        <v>82</v>
      </c>
      <c r="F20" s="141">
        <f aca="true" t="shared" si="1" ref="F20:F27">SUM(B20:E20)</f>
        <v>156</v>
      </c>
    </row>
    <row r="21" spans="1:6" ht="13.5">
      <c r="A21" s="22" t="s">
        <v>115</v>
      </c>
      <c r="B21" s="25">
        <v>706</v>
      </c>
      <c r="C21" s="25">
        <v>781</v>
      </c>
      <c r="D21" s="25">
        <v>642</v>
      </c>
      <c r="E21" s="25">
        <v>586</v>
      </c>
      <c r="F21" s="141">
        <f t="shared" si="1"/>
        <v>2715</v>
      </c>
    </row>
    <row r="22" spans="1:6" ht="13.5">
      <c r="A22" s="22" t="s">
        <v>116</v>
      </c>
      <c r="B22" s="25">
        <v>459</v>
      </c>
      <c r="C22" s="25">
        <v>159</v>
      </c>
      <c r="D22" s="25">
        <v>859</v>
      </c>
      <c r="E22" s="25">
        <v>159</v>
      </c>
      <c r="F22" s="141">
        <f t="shared" si="1"/>
        <v>1636</v>
      </c>
    </row>
    <row r="23" spans="1:6" ht="13.5">
      <c r="A23" s="22" t="s">
        <v>117</v>
      </c>
      <c r="B23" s="25">
        <f>SUM(B30:B38)</f>
        <v>10</v>
      </c>
      <c r="C23" s="25">
        <f>SUM(C30:C38)</f>
        <v>4</v>
      </c>
      <c r="D23" s="25">
        <f>SUM(D30:D38)</f>
        <v>70</v>
      </c>
      <c r="E23" s="25">
        <f>SUM(E30:E38)</f>
        <v>10</v>
      </c>
      <c r="F23" s="141">
        <f t="shared" si="1"/>
        <v>94</v>
      </c>
    </row>
    <row r="24" spans="1:6" ht="13.5">
      <c r="A24" s="22" t="s">
        <v>118</v>
      </c>
      <c r="B24" s="25">
        <f>+SUM(B41:B64)</f>
        <v>0</v>
      </c>
      <c r="C24" s="25">
        <f>+SUM(C41:C64)</f>
        <v>0</v>
      </c>
      <c r="D24" s="25">
        <f>+SUM(D41:D64)</f>
        <v>0</v>
      </c>
      <c r="E24" s="25">
        <f>+SUM(E41:E64)</f>
        <v>0</v>
      </c>
      <c r="F24" s="141">
        <f t="shared" si="1"/>
        <v>0</v>
      </c>
    </row>
    <row r="25" spans="1:6" ht="15" thickBot="1">
      <c r="A25" s="22" t="s">
        <v>119</v>
      </c>
      <c r="B25" s="25">
        <f>SUM(B20:B24)</f>
        <v>1216</v>
      </c>
      <c r="C25" s="25">
        <f>SUM(C20:C24)</f>
        <v>948</v>
      </c>
      <c r="D25" s="25">
        <f>SUM(D20:D24)</f>
        <v>1600</v>
      </c>
      <c r="E25" s="25">
        <f>SUM(E20:E24)</f>
        <v>837</v>
      </c>
      <c r="F25" s="141">
        <f t="shared" si="1"/>
        <v>4601</v>
      </c>
    </row>
    <row r="26" spans="1:6" ht="15" thickBot="1">
      <c r="A26" s="187" t="s">
        <v>120</v>
      </c>
      <c r="B26" s="188">
        <f>B25-(B24+B23)</f>
        <v>1206</v>
      </c>
      <c r="C26" s="188">
        <f>C25-(C24+C23)</f>
        <v>944</v>
      </c>
      <c r="D26" s="188">
        <f>D25-(D24+D23)</f>
        <v>1530</v>
      </c>
      <c r="E26" s="188">
        <f>E25-(E24+E23)</f>
        <v>827</v>
      </c>
      <c r="F26" s="189">
        <f t="shared" si="1"/>
        <v>4507</v>
      </c>
    </row>
    <row r="27" spans="1:6" ht="13.5">
      <c r="A27" s="142" t="s">
        <v>121</v>
      </c>
      <c r="B27" s="143">
        <f>B25-B22</f>
        <v>757</v>
      </c>
      <c r="C27" s="143">
        <f>C25-C22</f>
        <v>789</v>
      </c>
      <c r="D27" s="143">
        <f>D25-D22</f>
        <v>741</v>
      </c>
      <c r="E27" s="143">
        <f>E25-E22</f>
        <v>678</v>
      </c>
      <c r="F27" s="144">
        <f t="shared" si="1"/>
        <v>2965</v>
      </c>
    </row>
    <row r="28" spans="1:6"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t="str">
        <f>IF((F27+F22)&lt;F25,"error",IF((F27+F22)&gt;F25,"error"," "))</f>
        <v> </v>
      </c>
    </row>
    <row r="29" spans="1:6" ht="15" thickBot="1">
      <c r="A29" s="138" t="s">
        <v>117</v>
      </c>
      <c r="B29" s="154"/>
      <c r="C29" s="154"/>
      <c r="D29" s="154"/>
      <c r="E29" s="154"/>
      <c r="F29" s="127" t="str">
        <f aca="true" t="shared" si="2" ref="F29:F38">A29</f>
        <v>Special Offerings/Funds</v>
      </c>
    </row>
    <row r="30" spans="1:6" ht="13.5">
      <c r="A30" s="22" t="s">
        <v>150</v>
      </c>
      <c r="B30" s="25">
        <v>10</v>
      </c>
      <c r="C30" s="25"/>
      <c r="D30" s="25">
        <v>20</v>
      </c>
      <c r="E30" s="25"/>
      <c r="F30" s="22" t="str">
        <f t="shared" si="2"/>
        <v>Defray envelope cost</v>
      </c>
    </row>
    <row r="31" spans="1:6" ht="13.5">
      <c r="A31" s="22" t="s">
        <v>151</v>
      </c>
      <c r="B31" s="25"/>
      <c r="C31" s="25">
        <v>4</v>
      </c>
      <c r="D31" s="25"/>
      <c r="E31" s="25"/>
      <c r="F31" s="22" t="str">
        <f t="shared" si="2"/>
        <v>Mediation books</v>
      </c>
    </row>
    <row r="32" spans="1:6" ht="13.5">
      <c r="A32" s="22" t="s">
        <v>152</v>
      </c>
      <c r="B32" s="25"/>
      <c r="C32" s="25"/>
      <c r="D32" s="25">
        <v>50</v>
      </c>
      <c r="E32" s="25"/>
      <c r="F32" s="22" t="str">
        <f t="shared" si="2"/>
        <v>Debt reductiion</v>
      </c>
    </row>
    <row r="33" spans="1:6" ht="13.5">
      <c r="A33" s="40" t="s">
        <v>153</v>
      </c>
      <c r="B33" s="25"/>
      <c r="C33" s="25"/>
      <c r="D33" s="25"/>
      <c r="E33" s="25">
        <v>10</v>
      </c>
      <c r="F33" s="22" t="str">
        <f t="shared" si="2"/>
        <v>Prepare to answer book</v>
      </c>
    </row>
    <row r="34" spans="1:7" ht="13.5">
      <c r="A34" s="22"/>
      <c r="B34" s="25"/>
      <c r="C34" s="25"/>
      <c r="D34" s="25"/>
      <c r="E34" s="25"/>
      <c r="F34" s="22">
        <f t="shared" si="2"/>
        <v>0</v>
      </c>
      <c r="G34" s="163"/>
    </row>
    <row r="35" spans="1:6" ht="13.5">
      <c r="A35" s="22"/>
      <c r="B35" s="25"/>
      <c r="C35" s="25"/>
      <c r="D35" s="25"/>
      <c r="E35" s="25"/>
      <c r="F35" s="22">
        <f t="shared" si="2"/>
        <v>0</v>
      </c>
    </row>
    <row r="36" spans="1:6" ht="13.5">
      <c r="A36" s="22"/>
      <c r="B36" s="25"/>
      <c r="C36" s="25"/>
      <c r="D36" s="25"/>
      <c r="E36" s="25"/>
      <c r="F36" s="22">
        <f t="shared" si="2"/>
        <v>0</v>
      </c>
    </row>
    <row r="37" spans="1:6" ht="13.5">
      <c r="A37" s="22"/>
      <c r="B37" s="25"/>
      <c r="C37" s="25"/>
      <c r="D37" s="25"/>
      <c r="E37" s="25"/>
      <c r="F37" s="22">
        <f t="shared" si="2"/>
        <v>0</v>
      </c>
    </row>
    <row r="38" spans="1:6" ht="13.5">
      <c r="A38" s="22"/>
      <c r="B38" s="25"/>
      <c r="C38" s="25"/>
      <c r="D38" s="25"/>
      <c r="E38" s="25"/>
      <c r="F38" s="22">
        <f t="shared" si="2"/>
        <v>0</v>
      </c>
    </row>
    <row r="39" spans="1:6" ht="13.5">
      <c r="A39" s="21"/>
      <c r="B39" s="25"/>
      <c r="C39" s="25"/>
      <c r="D39" s="25"/>
      <c r="E39" s="25"/>
      <c r="F39" s="22"/>
    </row>
    <row r="40" spans="1:6" ht="15" thickBot="1">
      <c r="A40" s="127" t="s">
        <v>118</v>
      </c>
      <c r="B40" s="154"/>
      <c r="C40" s="154"/>
      <c r="D40" s="154"/>
      <c r="E40" s="154"/>
      <c r="F40" s="127" t="str">
        <f aca="true" t="shared" si="3" ref="F40:F54">A40</f>
        <v>Memorials</v>
      </c>
    </row>
    <row r="41" spans="1:6" ht="13.5">
      <c r="A41" s="22"/>
      <c r="B41" s="25"/>
      <c r="C41" s="25"/>
      <c r="D41" s="25"/>
      <c r="E41" s="25"/>
      <c r="F41" s="22"/>
    </row>
    <row r="42" spans="1:6" ht="13.5">
      <c r="A42" s="22"/>
      <c r="B42" s="25"/>
      <c r="C42" s="25"/>
      <c r="D42" s="25"/>
      <c r="E42" s="25"/>
      <c r="F42" s="22">
        <f t="shared" si="3"/>
        <v>0</v>
      </c>
    </row>
    <row r="43" spans="1:6" ht="13.5">
      <c r="A43" s="22"/>
      <c r="B43" s="25"/>
      <c r="C43" s="25"/>
      <c r="D43" s="25"/>
      <c r="E43" s="25"/>
      <c r="F43" s="22">
        <f t="shared" si="3"/>
        <v>0</v>
      </c>
    </row>
    <row r="44" spans="1:6" ht="13.5">
      <c r="A44" s="40"/>
      <c r="B44" s="25"/>
      <c r="C44" s="25"/>
      <c r="D44" s="25"/>
      <c r="E44" s="25"/>
      <c r="F44" s="22">
        <f t="shared" si="3"/>
        <v>0</v>
      </c>
    </row>
    <row r="45" spans="1:6" ht="13.5">
      <c r="A45" s="22"/>
      <c r="B45" s="25"/>
      <c r="C45" s="25"/>
      <c r="D45" s="25"/>
      <c r="E45" s="25"/>
      <c r="F45" s="22">
        <f t="shared" si="3"/>
        <v>0</v>
      </c>
    </row>
    <row r="46" spans="1:6" ht="13.5">
      <c r="A46" s="22"/>
      <c r="B46" s="25"/>
      <c r="C46" s="25"/>
      <c r="D46" s="25"/>
      <c r="E46" s="25"/>
      <c r="F46" s="22">
        <f t="shared" si="3"/>
        <v>0</v>
      </c>
    </row>
    <row r="47" spans="1:6" ht="13.5">
      <c r="A47" s="22"/>
      <c r="B47" s="25"/>
      <c r="C47" s="25"/>
      <c r="D47" s="25"/>
      <c r="E47" s="25"/>
      <c r="F47" s="22">
        <f t="shared" si="3"/>
        <v>0</v>
      </c>
    </row>
    <row r="48" spans="1:6" ht="13.5">
      <c r="A48" s="22"/>
      <c r="B48" s="25"/>
      <c r="C48" s="25"/>
      <c r="D48" s="25"/>
      <c r="E48" s="25"/>
      <c r="F48" s="22">
        <f t="shared" si="3"/>
        <v>0</v>
      </c>
    </row>
    <row r="49" spans="1:6" ht="13.5">
      <c r="A49" s="22"/>
      <c r="B49" s="25"/>
      <c r="C49" s="25"/>
      <c r="D49" s="25"/>
      <c r="E49" s="25"/>
      <c r="F49" s="22">
        <f t="shared" si="3"/>
        <v>0</v>
      </c>
    </row>
    <row r="50" spans="1:6" ht="13.5">
      <c r="A50" s="22"/>
      <c r="B50" s="25"/>
      <c r="C50" s="25"/>
      <c r="D50" s="25"/>
      <c r="E50" s="25"/>
      <c r="F50" s="22">
        <f t="shared" si="3"/>
        <v>0</v>
      </c>
    </row>
    <row r="51" spans="1:6" ht="13.5">
      <c r="A51" s="22"/>
      <c r="B51" s="25"/>
      <c r="C51" s="25"/>
      <c r="D51" s="25"/>
      <c r="E51" s="25"/>
      <c r="F51" s="22">
        <f t="shared" si="3"/>
        <v>0</v>
      </c>
    </row>
    <row r="52" spans="1:6" ht="13.5">
      <c r="A52" s="22"/>
      <c r="B52" s="25"/>
      <c r="C52" s="25"/>
      <c r="D52" s="25"/>
      <c r="E52" s="25"/>
      <c r="F52" s="22">
        <f t="shared" si="3"/>
        <v>0</v>
      </c>
    </row>
    <row r="53" spans="1:6" ht="13.5">
      <c r="A53" s="22"/>
      <c r="B53" s="25"/>
      <c r="C53" s="25"/>
      <c r="D53" s="25"/>
      <c r="E53" s="25"/>
      <c r="F53" s="22">
        <f t="shared" si="3"/>
        <v>0</v>
      </c>
    </row>
    <row r="54" spans="1:6" ht="13.5">
      <c r="A54" s="142"/>
      <c r="B54"/>
      <c r="C54"/>
      <c r="E54"/>
      <c r="F54" s="142">
        <f t="shared" si="3"/>
        <v>0</v>
      </c>
    </row>
    <row r="55" spans="2:6" ht="13.5">
      <c r="B55"/>
      <c r="C55"/>
      <c r="D55"/>
      <c r="E55"/>
      <c r="F55"/>
    </row>
    <row r="56" spans="2:6" ht="13.5">
      <c r="B56"/>
      <c r="C56"/>
      <c r="D56"/>
      <c r="E56"/>
      <c r="F56"/>
    </row>
    <row r="57" spans="1:6" ht="13.5">
      <c r="A57" s="22"/>
      <c r="B57" s="25"/>
      <c r="C57" s="25"/>
      <c r="D57" s="25"/>
      <c r="E57" s="25"/>
      <c r="F57" s="21"/>
    </row>
    <row r="58" ht="13.5">
      <c r="F58" s="21"/>
    </row>
    <row r="59" ht="13.5">
      <c r="F59" s="21"/>
    </row>
    <row r="60" ht="13.5">
      <c r="F60" s="21"/>
    </row>
    <row r="61" ht="13.5">
      <c r="F61" s="21"/>
    </row>
    <row r="62" ht="13.5">
      <c r="F62" s="21"/>
    </row>
    <row r="63" ht="13.5">
      <c r="F63"/>
    </row>
  </sheetData>
  <sheetProtection/>
  <printOptions gridLines="1"/>
  <pageMargins left="0" right="0" top="0.75" bottom="0.51" header="0.5" footer="0.5"/>
  <pageSetup horizontalDpi="600" verticalDpi="600" orientation="portrait" scale="75"/>
  <headerFooter alignWithMargins="0">
    <oddHeader>&amp;C&amp;A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70"/>
  <sheetViews>
    <sheetView zoomScalePageLayoutView="0" workbookViewId="0" topLeftCell="A1">
      <selection activeCell="A54" sqref="A54"/>
    </sheetView>
  </sheetViews>
  <sheetFormatPr defaultColWidth="11.375" defaultRowHeight="12.75"/>
  <cols>
    <col min="1" max="1" width="24.75390625" style="0" customWidth="1"/>
    <col min="2" max="5" width="13.75390625" style="146" customWidth="1"/>
    <col min="6" max="6" width="20.00390625" style="184" customWidth="1"/>
    <col min="7" max="7" width="24.25390625" style="0" customWidth="1"/>
    <col min="8" max="8" width="20.00390625" style="0" customWidth="1"/>
  </cols>
  <sheetData>
    <row r="1" spans="1:7" ht="13.5">
      <c r="A1" s="122">
        <f ca="1">TODAY()</f>
        <v>42757</v>
      </c>
      <c r="B1" s="123" t="s">
        <v>98</v>
      </c>
      <c r="C1" s="123"/>
      <c r="D1" s="123"/>
      <c r="E1" s="25"/>
      <c r="G1" s="25"/>
    </row>
    <row r="2" spans="1:5" ht="13.5">
      <c r="A2" s="21"/>
      <c r="B2" s="123" t="s">
        <v>99</v>
      </c>
      <c r="C2" s="123"/>
      <c r="D2" s="123"/>
      <c r="E2"/>
    </row>
    <row r="3" spans="1:7" ht="15" thickBot="1">
      <c r="A3" s="21"/>
      <c r="B3" s="25"/>
      <c r="C3" s="25"/>
      <c r="D3" s="25"/>
      <c r="E3" s="25"/>
      <c r="G3" s="25"/>
    </row>
    <row r="4" spans="2:7" ht="13.5">
      <c r="B4" s="124" t="s">
        <v>100</v>
      </c>
      <c r="C4" s="125" t="s">
        <v>101</v>
      </c>
      <c r="D4" s="126" t="s">
        <v>102</v>
      </c>
      <c r="E4" s="126" t="s">
        <v>103</v>
      </c>
      <c r="G4" s="126"/>
    </row>
    <row r="5" spans="1:7" ht="15" thickBot="1">
      <c r="A5" s="127" t="s">
        <v>104</v>
      </c>
      <c r="B5" s="128" t="s">
        <v>4</v>
      </c>
      <c r="C5" s="281">
        <v>2020</v>
      </c>
      <c r="D5" s="281">
        <v>2019</v>
      </c>
      <c r="E5" s="152" t="s">
        <v>149</v>
      </c>
      <c r="G5" s="129"/>
    </row>
    <row r="6" spans="1:7" ht="13.5">
      <c r="A6" s="134" t="s">
        <v>123</v>
      </c>
      <c r="B6" s="131">
        <f>F22</f>
        <v>1336</v>
      </c>
      <c r="C6" s="132">
        <f>B6+January!C6</f>
        <v>2972</v>
      </c>
      <c r="D6" s="25">
        <v>2840</v>
      </c>
      <c r="E6" s="25">
        <f>C6-D6</f>
        <v>132</v>
      </c>
      <c r="G6" s="25"/>
    </row>
    <row r="7" spans="1:7" ht="13.5">
      <c r="A7" s="133" t="str">
        <f>January!A7</f>
        <v>Loose</v>
      </c>
      <c r="B7" s="131">
        <f>F20</f>
        <v>92</v>
      </c>
      <c r="C7" s="132">
        <f>B7+January!C7</f>
        <v>248</v>
      </c>
      <c r="D7" s="25">
        <v>345</v>
      </c>
      <c r="E7" s="25">
        <f aca="true" t="shared" si="0" ref="E7:E12">C7-D7</f>
        <v>-97</v>
      </c>
      <c r="G7" s="25"/>
    </row>
    <row r="8" spans="1:7" ht="13.5">
      <c r="A8" s="133" t="s">
        <v>92</v>
      </c>
      <c r="B8" s="131">
        <f>F21</f>
        <v>2829.75</v>
      </c>
      <c r="C8" s="132">
        <f>B8+January!C8</f>
        <v>5544.75</v>
      </c>
      <c r="D8" s="25">
        <v>8027</v>
      </c>
      <c r="E8" s="25">
        <f t="shared" si="0"/>
        <v>-2482.25</v>
      </c>
      <c r="G8" s="25"/>
    </row>
    <row r="9" spans="1:7" ht="13.5">
      <c r="A9" s="133" t="s">
        <v>106</v>
      </c>
      <c r="B9" s="131">
        <f>F23</f>
        <v>3.18</v>
      </c>
      <c r="C9" s="132">
        <f>B9+January!C9</f>
        <v>97.18</v>
      </c>
      <c r="D9" s="25">
        <v>927</v>
      </c>
      <c r="E9" s="25">
        <f t="shared" si="0"/>
        <v>-829.8199999999999</v>
      </c>
      <c r="G9" s="25"/>
    </row>
    <row r="10" spans="1:7" ht="13.5">
      <c r="A10" s="133" t="s">
        <v>107</v>
      </c>
      <c r="B10" s="131">
        <f>F24</f>
        <v>0</v>
      </c>
      <c r="C10" s="132">
        <f>B10+January!C10</f>
        <v>0</v>
      </c>
      <c r="D10" s="25">
        <v>300</v>
      </c>
      <c r="E10" s="25">
        <f t="shared" si="0"/>
        <v>-300</v>
      </c>
      <c r="G10" s="25"/>
    </row>
    <row r="11" spans="1:7" ht="15" thickBot="1">
      <c r="A11" s="134" t="s">
        <v>108</v>
      </c>
      <c r="B11" s="131">
        <f>SUM(B6:B10)</f>
        <v>4260.93</v>
      </c>
      <c r="C11" s="132">
        <f>B11+January!C11</f>
        <v>8861.93</v>
      </c>
      <c r="D11" s="25">
        <v>11019</v>
      </c>
      <c r="E11" s="25">
        <f t="shared" si="0"/>
        <v>-2157.0699999999997</v>
      </c>
      <c r="G11" s="25"/>
    </row>
    <row r="12" spans="1:7" ht="15" thickBot="1">
      <c r="A12" s="262" t="s">
        <v>109</v>
      </c>
      <c r="B12" s="263">
        <f>F26</f>
        <v>4257.75</v>
      </c>
      <c r="C12" s="264">
        <f>B12+January!C12</f>
        <v>8764.75</v>
      </c>
      <c r="D12" s="25">
        <v>11212</v>
      </c>
      <c r="E12" s="25">
        <f t="shared" si="0"/>
        <v>-2447.25</v>
      </c>
      <c r="G12" s="21"/>
    </row>
    <row r="13" spans="1:7" ht="13.5">
      <c r="A13" s="22" t="s">
        <v>110</v>
      </c>
      <c r="B13" s="131">
        <v>9106.33</v>
      </c>
      <c r="C13" s="132">
        <f>B13*2</f>
        <v>18212.66</v>
      </c>
      <c r="D13" s="25">
        <v>16700</v>
      </c>
      <c r="E13" s="25">
        <v>-1512.66</v>
      </c>
      <c r="G13" s="25"/>
    </row>
    <row r="14" spans="1:5" ht="15" thickBot="1">
      <c r="A14" s="22" t="s">
        <v>122</v>
      </c>
      <c r="B14" s="135">
        <f>B12-B13</f>
        <v>-4848.58</v>
      </c>
      <c r="C14" s="136">
        <f>C12-C13</f>
        <v>-9447.91</v>
      </c>
      <c r="D14" s="25">
        <f>D12-D13</f>
        <v>-5488</v>
      </c>
      <c r="E14" s="25"/>
    </row>
    <row r="15" spans="1:7" ht="13.5">
      <c r="A15" s="22" t="s">
        <v>112</v>
      </c>
      <c r="B15" s="156">
        <f>B12/B13</f>
        <v>0.46755937902535927</v>
      </c>
      <c r="C15" s="156">
        <f>C12/C13</f>
        <v>0.4812449142519544</v>
      </c>
      <c r="D15" s="156">
        <f>D12/D13</f>
        <v>0.671377245508982</v>
      </c>
      <c r="E15" s="25"/>
      <c r="G15" s="25"/>
    </row>
    <row r="16" spans="2:13" ht="13.5">
      <c r="B16" s="25"/>
      <c r="C16" s="25"/>
      <c r="D16" s="25"/>
      <c r="E16" s="25"/>
      <c r="G16" s="25"/>
      <c r="H16" s="22"/>
      <c r="I16" s="25"/>
      <c r="J16" s="25"/>
      <c r="K16" s="25"/>
      <c r="L16" s="25"/>
      <c r="M16" s="21"/>
    </row>
    <row r="17" spans="2:12" ht="13.5">
      <c r="B17" s="137" t="s">
        <v>84</v>
      </c>
      <c r="C17" s="137" t="s">
        <v>84</v>
      </c>
      <c r="D17" s="137" t="s">
        <v>84</v>
      </c>
      <c r="E17" s="257" t="s">
        <v>84</v>
      </c>
      <c r="F17" s="31" t="s">
        <v>113</v>
      </c>
      <c r="G17" s="22"/>
      <c r="H17" s="25"/>
      <c r="I17" s="25"/>
      <c r="J17" s="25"/>
      <c r="K17" s="25"/>
      <c r="L17" s="21"/>
    </row>
    <row r="18" spans="1:12" ht="15" thickBot="1">
      <c r="A18" s="138" t="s">
        <v>114</v>
      </c>
      <c r="B18" s="139">
        <f>'2020 Wkly Log'!I3</f>
        <v>42401</v>
      </c>
      <c r="C18" s="139">
        <f>'2020 Wkly Log'!J3</f>
        <v>42408</v>
      </c>
      <c r="D18" s="139">
        <f>'2020 Wkly Log'!K3</f>
        <v>42415</v>
      </c>
      <c r="E18" s="139">
        <f>'2020 Wkly Log'!L3</f>
        <v>42422</v>
      </c>
      <c r="F18" s="151" t="str">
        <f>B5</f>
        <v>February</v>
      </c>
      <c r="G18" s="22"/>
      <c r="H18" s="25"/>
      <c r="I18" s="25"/>
      <c r="J18" s="25"/>
      <c r="K18" s="25"/>
      <c r="L18" s="21"/>
    </row>
    <row r="19" spans="1:12" ht="13.5">
      <c r="A19" s="22"/>
      <c r="B19" s="25"/>
      <c r="C19" s="25"/>
      <c r="D19" s="25"/>
      <c r="E19" s="184"/>
      <c r="F19" s="140"/>
      <c r="G19" s="21"/>
      <c r="H19" s="21"/>
      <c r="I19" s="21"/>
      <c r="J19" s="21"/>
      <c r="K19" s="21"/>
      <c r="L19" s="21"/>
    </row>
    <row r="20" spans="1:6" ht="13.5">
      <c r="A20" s="22" t="s">
        <v>105</v>
      </c>
      <c r="B20" s="25">
        <v>46</v>
      </c>
      <c r="C20" s="25">
        <v>16</v>
      </c>
      <c r="D20" s="25">
        <v>30</v>
      </c>
      <c r="E20" s="184">
        <v>0</v>
      </c>
      <c r="F20" s="141">
        <f aca="true" t="shared" si="1" ref="F20:F27">SUM(B20:E20)</f>
        <v>92</v>
      </c>
    </row>
    <row r="21" spans="1:6" ht="13.5">
      <c r="A21" s="22" t="s">
        <v>115</v>
      </c>
      <c r="B21" s="25">
        <v>957.75</v>
      </c>
      <c r="C21" s="25">
        <v>610</v>
      </c>
      <c r="D21" s="25">
        <v>971</v>
      </c>
      <c r="E21" s="184">
        <v>291</v>
      </c>
      <c r="F21" s="141">
        <f t="shared" si="1"/>
        <v>2829.75</v>
      </c>
    </row>
    <row r="22" spans="1:6" ht="13.5">
      <c r="A22" s="22" t="s">
        <v>116</v>
      </c>
      <c r="B22" s="25">
        <v>459</v>
      </c>
      <c r="C22" s="25">
        <v>159</v>
      </c>
      <c r="D22" s="25">
        <v>559</v>
      </c>
      <c r="E22" s="184">
        <v>159</v>
      </c>
      <c r="F22" s="141">
        <f t="shared" si="1"/>
        <v>1336</v>
      </c>
    </row>
    <row r="23" spans="1:6" ht="13.5">
      <c r="A23" s="22" t="s">
        <v>117</v>
      </c>
      <c r="B23" s="25">
        <f>SUM(B30:B38)</f>
        <v>0</v>
      </c>
      <c r="C23" s="25">
        <f>SUM(C30:C38)</f>
        <v>0</v>
      </c>
      <c r="D23" s="25">
        <f>SUM(D30:D38)</f>
        <v>0</v>
      </c>
      <c r="E23" s="25">
        <v>3.18</v>
      </c>
      <c r="F23" s="141">
        <f t="shared" si="1"/>
        <v>3.18</v>
      </c>
    </row>
    <row r="24" spans="1:6" ht="13.5">
      <c r="A24" s="22" t="s">
        <v>118</v>
      </c>
      <c r="B24" s="25">
        <f>+SUM(B41:B64)</f>
        <v>0</v>
      </c>
      <c r="C24" s="25">
        <f>+SUM(C41:C64)</f>
        <v>0</v>
      </c>
      <c r="D24" s="25">
        <f>+SUM(D41:D64)</f>
        <v>0</v>
      </c>
      <c r="E24" s="25">
        <f>+SUM(E41:E64)</f>
        <v>0</v>
      </c>
      <c r="F24" s="141">
        <f t="shared" si="1"/>
        <v>0</v>
      </c>
    </row>
    <row r="25" spans="1:6" ht="13.5">
      <c r="A25" s="22" t="s">
        <v>119</v>
      </c>
      <c r="B25" s="25">
        <f>SUM(B20:B24)</f>
        <v>1462.75</v>
      </c>
      <c r="C25" s="25">
        <f>SUM(C20:C24)</f>
        <v>785</v>
      </c>
      <c r="D25" s="25">
        <f>SUM(D20:D24)</f>
        <v>1560</v>
      </c>
      <c r="E25" s="25">
        <f>SUM(E20:E24)</f>
        <v>453.18</v>
      </c>
      <c r="F25" s="141">
        <f t="shared" si="1"/>
        <v>4260.93</v>
      </c>
    </row>
    <row r="26" spans="1:6" ht="13.5">
      <c r="A26" s="265" t="s">
        <v>120</v>
      </c>
      <c r="B26" s="266">
        <f>B25-(B24+B23)</f>
        <v>1462.75</v>
      </c>
      <c r="C26" s="266">
        <f>C25-(C24+C23)</f>
        <v>785</v>
      </c>
      <c r="D26" s="266">
        <f>D25-(D24+D23)</f>
        <v>1560</v>
      </c>
      <c r="E26" s="266">
        <f>E25-(E24+E23)</f>
        <v>450</v>
      </c>
      <c r="F26" s="266">
        <f t="shared" si="1"/>
        <v>4257.75</v>
      </c>
    </row>
    <row r="27" spans="1:6" ht="13.5">
      <c r="A27" s="142" t="s">
        <v>121</v>
      </c>
      <c r="B27" s="143">
        <f>B25-B22</f>
        <v>1003.75</v>
      </c>
      <c r="C27" s="143">
        <f>C25-C22</f>
        <v>626</v>
      </c>
      <c r="D27" s="143">
        <f>D25-D22</f>
        <v>1001</v>
      </c>
      <c r="E27" s="143">
        <f>E25-E22</f>
        <v>294.18</v>
      </c>
      <c r="F27" s="144">
        <f t="shared" si="1"/>
        <v>2924.93</v>
      </c>
    </row>
    <row r="28" spans="1:6" ht="13.5">
      <c r="A28" s="142"/>
      <c r="B28" s="145" t="str">
        <f>IF((B27+B22)&lt;B25,"error",IF((B27+B22)&gt;B25,"error"," "))</f>
        <v> </v>
      </c>
      <c r="C28" s="145" t="str">
        <f>IF((C27+C22)&lt;C25,"error",IF((C27+C22)&gt;C25,"error"," "))</f>
        <v> </v>
      </c>
      <c r="D28" s="145"/>
      <c r="E28" s="184"/>
      <c r="F28" s="145"/>
    </row>
    <row r="29" spans="1:7" ht="15" thickBot="1">
      <c r="A29" s="138" t="s">
        <v>117</v>
      </c>
      <c r="B29" s="154"/>
      <c r="C29" s="154"/>
      <c r="D29" s="154"/>
      <c r="E29" s="154"/>
      <c r="F29" s="127" t="str">
        <f aca="true" t="shared" si="2" ref="F29:F38">A29</f>
        <v>Special Offerings/Funds</v>
      </c>
      <c r="G29" s="32"/>
    </row>
    <row r="30" spans="1:7" ht="13.5">
      <c r="A30" s="22" t="s">
        <v>154</v>
      </c>
      <c r="B30" s="25"/>
      <c r="C30" s="25"/>
      <c r="D30" s="25"/>
      <c r="E30" s="25">
        <v>3.18</v>
      </c>
      <c r="F30" s="22">
        <v>3.18</v>
      </c>
      <c r="G30" s="22"/>
    </row>
    <row r="31" spans="1:7" ht="13.5">
      <c r="A31" s="22"/>
      <c r="B31" s="25"/>
      <c r="C31" s="25"/>
      <c r="D31" s="25"/>
      <c r="E31" s="25"/>
      <c r="F31" s="22">
        <f t="shared" si="2"/>
        <v>0</v>
      </c>
      <c r="G31" s="22"/>
    </row>
    <row r="32" spans="1:7" ht="13.5">
      <c r="A32" s="22"/>
      <c r="B32" s="25"/>
      <c r="C32" s="25"/>
      <c r="D32" s="25"/>
      <c r="E32" s="25"/>
      <c r="F32" s="22">
        <f t="shared" si="2"/>
        <v>0</v>
      </c>
      <c r="G32" s="22"/>
    </row>
    <row r="33" spans="1:7" ht="13.5">
      <c r="A33" s="40"/>
      <c r="B33" s="25"/>
      <c r="C33" s="25"/>
      <c r="D33" s="25"/>
      <c r="E33" s="25"/>
      <c r="F33" s="22">
        <f t="shared" si="2"/>
        <v>0</v>
      </c>
      <c r="G33" s="22"/>
    </row>
    <row r="34" spans="1:7" ht="13.5">
      <c r="A34" s="22"/>
      <c r="B34" s="25"/>
      <c r="C34" s="25"/>
      <c r="D34" s="25"/>
      <c r="E34" s="25"/>
      <c r="F34" s="22">
        <f t="shared" si="2"/>
        <v>0</v>
      </c>
      <c r="G34" s="22"/>
    </row>
    <row r="35" spans="1:7" ht="13.5">
      <c r="A35" s="22"/>
      <c r="B35" s="25"/>
      <c r="C35" s="25"/>
      <c r="D35" s="25"/>
      <c r="E35" s="25"/>
      <c r="F35" s="22">
        <f t="shared" si="2"/>
        <v>0</v>
      </c>
      <c r="G35" s="22"/>
    </row>
    <row r="36" spans="1:7" ht="13.5">
      <c r="A36" s="22"/>
      <c r="B36" s="25"/>
      <c r="C36" s="25"/>
      <c r="D36" s="25"/>
      <c r="E36" s="25"/>
      <c r="F36" s="22">
        <f t="shared" si="2"/>
        <v>0</v>
      </c>
      <c r="G36" s="22"/>
    </row>
    <row r="37" spans="1:7" ht="13.5">
      <c r="A37" s="22"/>
      <c r="B37" s="25"/>
      <c r="C37" s="25"/>
      <c r="D37" s="25"/>
      <c r="E37" s="25"/>
      <c r="F37" s="22">
        <f t="shared" si="2"/>
        <v>0</v>
      </c>
      <c r="G37" s="22"/>
    </row>
    <row r="38" spans="1:7" ht="13.5">
      <c r="A38" s="22"/>
      <c r="B38" s="25"/>
      <c r="C38" s="25"/>
      <c r="D38" s="25"/>
      <c r="E38" s="25"/>
      <c r="F38" s="22">
        <f t="shared" si="2"/>
        <v>0</v>
      </c>
      <c r="G38" s="22"/>
    </row>
    <row r="39" spans="1:7" ht="13.5">
      <c r="A39" s="21"/>
      <c r="B39" s="25"/>
      <c r="C39" s="25"/>
      <c r="D39" s="25"/>
      <c r="E39" s="25"/>
      <c r="F39" s="22"/>
      <c r="G39" s="21"/>
    </row>
    <row r="40" spans="1:7" ht="15" thickBot="1">
      <c r="A40" s="127" t="s">
        <v>118</v>
      </c>
      <c r="B40" s="154"/>
      <c r="C40" s="154"/>
      <c r="D40" s="154"/>
      <c r="E40" s="154"/>
      <c r="F40" s="127" t="str">
        <f aca="true" t="shared" si="3" ref="F40:F48">A40</f>
        <v>Memorials</v>
      </c>
      <c r="G40" s="31"/>
    </row>
    <row r="41" spans="1:7" ht="13.5">
      <c r="A41" s="22"/>
      <c r="B41" s="25"/>
      <c r="C41" s="25"/>
      <c r="D41" s="25"/>
      <c r="E41" s="25"/>
      <c r="F41" s="22">
        <f t="shared" si="3"/>
        <v>0</v>
      </c>
      <c r="G41" s="174"/>
    </row>
    <row r="42" spans="1:7" ht="13.5">
      <c r="A42" s="22"/>
      <c r="B42" s="25"/>
      <c r="C42" s="25"/>
      <c r="D42" s="25"/>
      <c r="E42" s="25"/>
      <c r="F42" s="22">
        <f t="shared" si="3"/>
        <v>0</v>
      </c>
      <c r="G42" s="22"/>
    </row>
    <row r="43" spans="1:7" ht="13.5">
      <c r="A43" s="22"/>
      <c r="B43" s="25"/>
      <c r="C43" s="25"/>
      <c r="D43" s="25"/>
      <c r="E43" s="25"/>
      <c r="F43" s="22">
        <f t="shared" si="3"/>
        <v>0</v>
      </c>
      <c r="G43" s="22"/>
    </row>
    <row r="44" spans="1:7" ht="13.5">
      <c r="A44" s="40"/>
      <c r="B44" s="25"/>
      <c r="C44" s="25"/>
      <c r="D44" s="25"/>
      <c r="E44" s="25"/>
      <c r="F44" s="22">
        <f t="shared" si="3"/>
        <v>0</v>
      </c>
      <c r="G44" s="22"/>
    </row>
    <row r="45" spans="1:7" ht="13.5">
      <c r="A45" s="22"/>
      <c r="B45" s="25"/>
      <c r="C45" s="25"/>
      <c r="D45" s="25"/>
      <c r="E45" s="25"/>
      <c r="F45" s="22">
        <f t="shared" si="3"/>
        <v>0</v>
      </c>
      <c r="G45" s="22"/>
    </row>
    <row r="46" spans="1:7" ht="13.5">
      <c r="A46" s="22"/>
      <c r="B46" s="25"/>
      <c r="C46" s="25"/>
      <c r="D46" s="25"/>
      <c r="E46" s="25"/>
      <c r="F46" s="22">
        <f t="shared" si="3"/>
        <v>0</v>
      </c>
      <c r="G46" s="22"/>
    </row>
    <row r="47" spans="1:7" ht="13.5">
      <c r="A47" s="22"/>
      <c r="B47" s="25"/>
      <c r="C47" s="25"/>
      <c r="D47" s="25"/>
      <c r="E47" s="25"/>
      <c r="F47" s="22">
        <f t="shared" si="3"/>
        <v>0</v>
      </c>
      <c r="G47" s="22"/>
    </row>
    <row r="48" spans="1:7" ht="13.5">
      <c r="A48" s="22"/>
      <c r="B48" s="25"/>
      <c r="C48" s="25"/>
      <c r="D48" s="25"/>
      <c r="E48" s="25"/>
      <c r="F48" s="22">
        <f t="shared" si="3"/>
        <v>0</v>
      </c>
      <c r="G48" s="22"/>
    </row>
    <row r="49" spans="1:7" ht="13.5">
      <c r="A49" s="22"/>
      <c r="B49" s="25"/>
      <c r="C49" s="25"/>
      <c r="D49" s="25"/>
      <c r="E49" s="25"/>
      <c r="F49" s="22">
        <f>A49</f>
        <v>0</v>
      </c>
      <c r="G49" s="22"/>
    </row>
    <row r="50" spans="1:7" ht="13.5">
      <c r="A50" s="22"/>
      <c r="B50" s="25"/>
      <c r="C50" s="25"/>
      <c r="D50" s="25"/>
      <c r="E50" s="25"/>
      <c r="F50" s="22">
        <f>A50</f>
        <v>0</v>
      </c>
      <c r="G50" s="22"/>
    </row>
    <row r="51" spans="1:7" ht="13.5">
      <c r="A51" s="22"/>
      <c r="B51" s="25"/>
      <c r="C51" s="25"/>
      <c r="D51" s="25"/>
      <c r="E51" s="25"/>
      <c r="F51" s="22">
        <f>A51</f>
        <v>0</v>
      </c>
      <c r="G51" s="22"/>
    </row>
    <row r="52" spans="1:7" ht="13.5">
      <c r="A52" s="22"/>
      <c r="B52" s="25"/>
      <c r="C52" s="25"/>
      <c r="D52" s="25"/>
      <c r="E52" s="25"/>
      <c r="F52" s="22">
        <f>A52</f>
        <v>0</v>
      </c>
      <c r="G52" s="22"/>
    </row>
    <row r="53" spans="1:7" ht="13.5">
      <c r="A53" s="22"/>
      <c r="B53" s="25"/>
      <c r="C53" s="25"/>
      <c r="D53" s="25"/>
      <c r="E53" s="25"/>
      <c r="F53" s="22">
        <f>A53</f>
        <v>0</v>
      </c>
      <c r="G53" s="22"/>
    </row>
    <row r="54" spans="1:6" ht="13.5">
      <c r="A54" s="22"/>
      <c r="B54" s="25"/>
      <c r="C54" s="25"/>
      <c r="D54" s="25"/>
      <c r="E54" s="184"/>
      <c r="F54" s="22"/>
    </row>
    <row r="55" spans="1:6" ht="13.5">
      <c r="A55" s="22"/>
      <c r="B55" s="25"/>
      <c r="C55" s="25"/>
      <c r="D55" s="25"/>
      <c r="E55" s="184"/>
      <c r="F55" s="22"/>
    </row>
    <row r="56" spans="1:6" ht="13.5">
      <c r="A56" s="22"/>
      <c r="B56" s="25"/>
      <c r="C56" s="25"/>
      <c r="D56" s="25"/>
      <c r="E56" s="184"/>
      <c r="F56" s="22"/>
    </row>
    <row r="57" spans="1:6" ht="13.5">
      <c r="A57" s="22"/>
      <c r="B57" s="25"/>
      <c r="C57" s="25"/>
      <c r="D57" s="25"/>
      <c r="E57" s="184"/>
      <c r="F57" s="22"/>
    </row>
    <row r="58" spans="1:6" ht="13.5">
      <c r="A58" s="22"/>
      <c r="B58" s="25"/>
      <c r="C58" s="25"/>
      <c r="D58" s="25"/>
      <c r="E58" s="184"/>
      <c r="F58" s="22"/>
    </row>
    <row r="59" spans="1:6" ht="13.5">
      <c r="A59" s="22"/>
      <c r="B59" s="25"/>
      <c r="C59" s="25"/>
      <c r="D59" s="25"/>
      <c r="E59" s="184"/>
      <c r="F59" s="22"/>
    </row>
    <row r="60" spans="1:6" ht="13.5">
      <c r="A60" s="22"/>
      <c r="B60" s="25"/>
      <c r="C60" s="25"/>
      <c r="D60" s="25"/>
      <c r="E60" s="184"/>
      <c r="F60" s="22"/>
    </row>
    <row r="61" spans="1:7" ht="13.5">
      <c r="A61" s="22"/>
      <c r="B61" s="25"/>
      <c r="C61" s="25"/>
      <c r="D61" s="25"/>
      <c r="E61" s="25"/>
      <c r="G61" s="22"/>
    </row>
    <row r="62" spans="1:6" ht="13.5">
      <c r="A62" s="22"/>
      <c r="B62" s="25"/>
      <c r="C62" s="25"/>
      <c r="D62" s="25"/>
      <c r="E62" s="25"/>
      <c r="F62" s="142"/>
    </row>
    <row r="63" spans="1:6" ht="13.5">
      <c r="A63" s="22"/>
      <c r="B63" s="25"/>
      <c r="C63" s="25"/>
      <c r="D63" s="25"/>
      <c r="E63" s="25"/>
      <c r="F63" s="22"/>
    </row>
    <row r="64" spans="1:6" ht="13.5">
      <c r="A64" s="22"/>
      <c r="B64" s="25"/>
      <c r="C64" s="25"/>
      <c r="D64" s="25"/>
      <c r="E64" s="25"/>
      <c r="F64" s="22"/>
    </row>
    <row r="65" spans="1:7" ht="13.5">
      <c r="A65" s="22"/>
      <c r="B65" s="25"/>
      <c r="C65" s="25"/>
      <c r="D65" s="25"/>
      <c r="E65" s="25"/>
      <c r="F65" s="13"/>
      <c r="G65" s="21"/>
    </row>
    <row r="66" ht="13.5">
      <c r="G66" s="21"/>
    </row>
    <row r="67" ht="13.5">
      <c r="G67" s="21"/>
    </row>
    <row r="68" ht="13.5">
      <c r="G68" s="21"/>
    </row>
    <row r="69" ht="13.5">
      <c r="G69" s="21"/>
    </row>
    <row r="70" ht="13.5">
      <c r="G70" s="21"/>
    </row>
  </sheetData>
  <sheetProtection/>
  <printOptions gridLines="1"/>
  <pageMargins left="0" right="0" top="0.75" bottom="0.51" header="0.5" footer="0.5"/>
  <pageSetup fitToHeight="1" fitToWidth="1" orientation="portrait" scale="82"/>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93"/>
  <sheetViews>
    <sheetView zoomScalePageLayoutView="0" workbookViewId="0" topLeftCell="A1">
      <selection activeCell="D14" sqref="D14"/>
    </sheetView>
  </sheetViews>
  <sheetFormatPr defaultColWidth="11.375" defaultRowHeight="12.75"/>
  <cols>
    <col min="1" max="1" width="24.75390625" style="0" customWidth="1"/>
    <col min="2" max="2" width="13.75390625" style="239" customWidth="1"/>
    <col min="3" max="3" width="13.875" style="239" customWidth="1"/>
    <col min="4" max="6" width="13.75390625" style="239" customWidth="1"/>
    <col min="7" max="7" width="32.875" style="239" customWidth="1"/>
    <col min="8" max="8" width="24.75390625" style="239" customWidth="1"/>
    <col min="9" max="9" width="21.625" style="0" customWidth="1"/>
    <col min="10" max="10" width="20.00390625" style="0" customWidth="1"/>
  </cols>
  <sheetData>
    <row r="1" spans="1:8" ht="13.5">
      <c r="A1" s="122">
        <f ca="1">TODAY()</f>
        <v>42757</v>
      </c>
      <c r="B1" s="123" t="s">
        <v>98</v>
      </c>
      <c r="C1" s="123"/>
      <c r="D1" s="123"/>
      <c r="E1" s="123"/>
      <c r="F1" s="230"/>
      <c r="G1" s="230"/>
      <c r="H1"/>
    </row>
    <row r="2" spans="1:8" ht="13.5">
      <c r="A2" s="21"/>
      <c r="B2" s="123" t="s">
        <v>99</v>
      </c>
      <c r="C2" s="123"/>
      <c r="D2" s="123"/>
      <c r="E2" s="123"/>
      <c r="F2"/>
      <c r="G2"/>
      <c r="H2"/>
    </row>
    <row r="3" spans="1:8" ht="15" thickBot="1">
      <c r="A3" s="21"/>
      <c r="B3" s="230"/>
      <c r="C3" s="230"/>
      <c r="D3" s="230"/>
      <c r="E3" s="230"/>
      <c r="F3" s="231"/>
      <c r="G3" s="230"/>
      <c r="H3"/>
    </row>
    <row r="4" spans="2:8" ht="13.5">
      <c r="B4" s="124" t="s">
        <v>100</v>
      </c>
      <c r="C4" s="125" t="s">
        <v>101</v>
      </c>
      <c r="D4" s="126" t="s">
        <v>102</v>
      </c>
      <c r="E4" s="126" t="s">
        <v>103</v>
      </c>
      <c r="G4" s="126"/>
      <c r="H4"/>
    </row>
    <row r="5" spans="1:8" ht="15" thickBot="1">
      <c r="A5" s="127" t="s">
        <v>104</v>
      </c>
      <c r="B5" s="128" t="s">
        <v>5</v>
      </c>
      <c r="C5" s="281">
        <v>2020</v>
      </c>
      <c r="D5" s="282">
        <v>2019</v>
      </c>
      <c r="E5" s="152" t="s">
        <v>149</v>
      </c>
      <c r="G5" s="129"/>
      <c r="H5"/>
    </row>
    <row r="6" spans="1:8" ht="13.5">
      <c r="A6" s="134" t="s">
        <v>123</v>
      </c>
      <c r="B6" s="232">
        <v>1421</v>
      </c>
      <c r="C6" s="233">
        <f>B6+February!C6</f>
        <v>4393</v>
      </c>
      <c r="D6" s="25">
        <v>4581</v>
      </c>
      <c r="E6" s="230">
        <f aca="true" t="shared" si="0" ref="E6:E13">C6-D6</f>
        <v>-188</v>
      </c>
      <c r="G6"/>
      <c r="H6"/>
    </row>
    <row r="7" spans="1:8" ht="13.5">
      <c r="A7" s="133" t="s">
        <v>105</v>
      </c>
      <c r="B7" s="232">
        <f>G20</f>
        <v>150</v>
      </c>
      <c r="C7" s="233">
        <f>B7+February!C7</f>
        <v>398</v>
      </c>
      <c r="D7" s="25">
        <v>800</v>
      </c>
      <c r="E7" s="230">
        <f t="shared" si="0"/>
        <v>-402</v>
      </c>
      <c r="G7"/>
      <c r="H7"/>
    </row>
    <row r="8" spans="1:8" ht="13.5">
      <c r="A8" s="133" t="s">
        <v>92</v>
      </c>
      <c r="B8" s="232">
        <f>G21</f>
        <v>4952</v>
      </c>
      <c r="C8" s="233">
        <f>B8+February!C8</f>
        <v>10496.75</v>
      </c>
      <c r="D8" s="25">
        <v>15328</v>
      </c>
      <c r="E8" s="230">
        <f t="shared" si="0"/>
        <v>-4831.25</v>
      </c>
      <c r="G8"/>
      <c r="H8"/>
    </row>
    <row r="9" spans="1:8" ht="13.5">
      <c r="A9" s="133" t="s">
        <v>106</v>
      </c>
      <c r="B9" s="232">
        <f>G23</f>
        <v>65</v>
      </c>
      <c r="C9" s="233">
        <f>B9+February!C9</f>
        <v>162.18</v>
      </c>
      <c r="D9" s="25">
        <v>1427</v>
      </c>
      <c r="E9" s="230">
        <f t="shared" si="0"/>
        <v>-1264.82</v>
      </c>
      <c r="G9"/>
      <c r="H9"/>
    </row>
    <row r="10" spans="1:8" ht="13.5">
      <c r="A10" s="133" t="s">
        <v>107</v>
      </c>
      <c r="B10" s="232">
        <f>G24</f>
        <v>0</v>
      </c>
      <c r="C10" s="233">
        <f>B10+February!C10</f>
        <v>0</v>
      </c>
      <c r="D10" s="25">
        <v>300</v>
      </c>
      <c r="E10" s="230">
        <f t="shared" si="0"/>
        <v>-300</v>
      </c>
      <c r="G10"/>
      <c r="H10"/>
    </row>
    <row r="11" spans="1:8" ht="15" thickBot="1">
      <c r="A11" s="134" t="s">
        <v>108</v>
      </c>
      <c r="B11" s="232">
        <f>SUM(B6:B10)</f>
        <v>6588</v>
      </c>
      <c r="C11" s="233">
        <f>B11+February!C11</f>
        <v>15449.93</v>
      </c>
      <c r="D11" s="25">
        <v>21016</v>
      </c>
      <c r="E11" s="230">
        <f t="shared" si="0"/>
        <v>-5566.07</v>
      </c>
      <c r="G11"/>
      <c r="H11"/>
    </row>
    <row r="12" spans="1:8" ht="15.75" thickBot="1" thickTop="1">
      <c r="A12" s="226" t="s">
        <v>109</v>
      </c>
      <c r="B12" s="234">
        <f>G26</f>
        <v>6662</v>
      </c>
      <c r="C12" s="235">
        <f>B12+February!C12</f>
        <v>15426.75</v>
      </c>
      <c r="D12" s="25">
        <v>21209</v>
      </c>
      <c r="E12" s="230">
        <f t="shared" si="0"/>
        <v>-5782.25</v>
      </c>
      <c r="G12"/>
      <c r="H12"/>
    </row>
    <row r="13" spans="1:8" ht="15" thickTop="1">
      <c r="A13" s="22" t="s">
        <v>110</v>
      </c>
      <c r="B13" s="232">
        <v>9106.33</v>
      </c>
      <c r="C13" s="233">
        <v>27318.99</v>
      </c>
      <c r="D13" s="25">
        <v>25050</v>
      </c>
      <c r="E13" s="230">
        <f t="shared" si="0"/>
        <v>2268.9900000000016</v>
      </c>
      <c r="G13"/>
      <c r="H13"/>
    </row>
    <row r="14" spans="1:8" ht="15" thickBot="1">
      <c r="A14" s="22" t="s">
        <v>122</v>
      </c>
      <c r="B14" s="236">
        <f>B12-B13</f>
        <v>-2444.33</v>
      </c>
      <c r="C14" s="237">
        <f>C12-C13</f>
        <v>-11892.240000000002</v>
      </c>
      <c r="D14" s="25">
        <f>D12-D13</f>
        <v>-3841</v>
      </c>
      <c r="E14" s="230"/>
      <c r="G14" s="230"/>
      <c r="H14"/>
    </row>
    <row r="15" spans="1:8" ht="13.5">
      <c r="A15" s="22" t="s">
        <v>112</v>
      </c>
      <c r="B15" s="238">
        <f>(B12/B13)</f>
        <v>0.7315790225041262</v>
      </c>
      <c r="C15" s="238">
        <f>(C12/C13)</f>
        <v>0.5646896170026783</v>
      </c>
      <c r="D15" s="238">
        <f>(D12/D13)</f>
        <v>0.8466666666666667</v>
      </c>
      <c r="E15" s="230"/>
      <c r="G15" s="230"/>
      <c r="H15"/>
    </row>
    <row r="16" spans="1:14" ht="13.5">
      <c r="A16" s="22"/>
      <c r="B16" s="230"/>
      <c r="C16" s="230"/>
      <c r="D16" s="230"/>
      <c r="E16" s="230"/>
      <c r="G16" s="230"/>
      <c r="H16" s="21"/>
      <c r="I16" s="22"/>
      <c r="J16" s="230"/>
      <c r="K16" s="230"/>
      <c r="L16" s="230"/>
      <c r="M16" s="230"/>
      <c r="N16" s="21"/>
    </row>
    <row r="17" spans="2:14" ht="13.5">
      <c r="B17" s="137" t="s">
        <v>84</v>
      </c>
      <c r="C17" s="137" t="s">
        <v>84</v>
      </c>
      <c r="D17" s="137" t="s">
        <v>84</v>
      </c>
      <c r="E17" s="137" t="s">
        <v>84</v>
      </c>
      <c r="F17" s="137" t="s">
        <v>84</v>
      </c>
      <c r="G17" s="31" t="s">
        <v>113</v>
      </c>
      <c r="H17"/>
      <c r="I17" s="22"/>
      <c r="J17" s="230"/>
      <c r="K17" s="230"/>
      <c r="L17" s="230"/>
      <c r="M17" s="230"/>
      <c r="N17" s="21"/>
    </row>
    <row r="18" spans="1:14" ht="15" thickBot="1">
      <c r="A18" s="138" t="s">
        <v>114</v>
      </c>
      <c r="B18" s="139">
        <f>'2020 Wkly Log'!N3</f>
        <v>42429</v>
      </c>
      <c r="C18" s="139">
        <f>'2020 Wkly Log'!O3</f>
        <v>42436</v>
      </c>
      <c r="D18" s="139">
        <f>'2020 Wkly Log'!P3</f>
        <v>42443</v>
      </c>
      <c r="E18" s="139">
        <f>'2020 Wkly Log'!Q3</f>
        <v>42450</v>
      </c>
      <c r="F18" s="139">
        <f>'2020 Wkly Log'!R3</f>
        <v>42457</v>
      </c>
      <c r="G18" s="151" t="str">
        <f>B5</f>
        <v>March</v>
      </c>
      <c r="H18"/>
      <c r="I18" s="22"/>
      <c r="J18" s="230"/>
      <c r="K18" s="230"/>
      <c r="L18" s="230"/>
      <c r="M18" s="230"/>
      <c r="N18" s="21"/>
    </row>
    <row r="19" spans="1:14" s="170" customFormat="1" ht="13.5">
      <c r="A19" s="169"/>
      <c r="B19" s="168"/>
      <c r="C19" s="168"/>
      <c r="D19" s="168"/>
      <c r="E19" s="168"/>
      <c r="F19" s="168"/>
      <c r="G19" s="172"/>
      <c r="I19" s="171"/>
      <c r="J19" s="171"/>
      <c r="K19" s="171"/>
      <c r="L19" s="171"/>
      <c r="M19" s="171"/>
      <c r="N19" s="171"/>
    </row>
    <row r="20" spans="1:8" ht="13.5">
      <c r="A20" s="22" t="s">
        <v>105</v>
      </c>
      <c r="B20" s="230">
        <v>44</v>
      </c>
      <c r="C20" s="230">
        <v>56</v>
      </c>
      <c r="D20" s="230">
        <v>50</v>
      </c>
      <c r="E20" s="230">
        <v>0</v>
      </c>
      <c r="F20" s="230">
        <v>0</v>
      </c>
      <c r="G20" s="141">
        <f aca="true" t="shared" si="1" ref="G20:G25">SUM(B20:F20)</f>
        <v>150</v>
      </c>
      <c r="H20"/>
    </row>
    <row r="21" spans="1:8" ht="13.5">
      <c r="A21" s="22" t="s">
        <v>115</v>
      </c>
      <c r="B21" s="230">
        <v>1637</v>
      </c>
      <c r="C21" s="230">
        <v>1197</v>
      </c>
      <c r="D21" s="230">
        <v>1268</v>
      </c>
      <c r="E21" s="230">
        <v>0</v>
      </c>
      <c r="F21" s="230">
        <v>850</v>
      </c>
      <c r="G21" s="141">
        <f t="shared" si="1"/>
        <v>4952</v>
      </c>
      <c r="H21"/>
    </row>
    <row r="22" spans="1:8" ht="13.5">
      <c r="A22" s="22" t="s">
        <v>116</v>
      </c>
      <c r="B22" s="230">
        <v>459</v>
      </c>
      <c r="C22" s="230">
        <v>159</v>
      </c>
      <c r="D22" s="230">
        <v>559</v>
      </c>
      <c r="E22" s="230">
        <v>159</v>
      </c>
      <c r="F22" s="230">
        <v>159</v>
      </c>
      <c r="G22" s="141">
        <f t="shared" si="1"/>
        <v>1495</v>
      </c>
      <c r="H22"/>
    </row>
    <row r="23" spans="1:8" ht="13.5">
      <c r="A23" s="22" t="s">
        <v>117</v>
      </c>
      <c r="B23" s="25">
        <v>65</v>
      </c>
      <c r="C23" s="25">
        <f>SUM(C30:C38)</f>
        <v>0</v>
      </c>
      <c r="D23" s="25">
        <f>SUM(D30:D38)</f>
        <v>0</v>
      </c>
      <c r="E23" s="25">
        <f>SUM(E30:E38)</f>
        <v>0</v>
      </c>
      <c r="F23" s="25">
        <f>SUM(F30:F38)</f>
        <v>0</v>
      </c>
      <c r="G23" s="141">
        <f t="shared" si="1"/>
        <v>65</v>
      </c>
      <c r="H23"/>
    </row>
    <row r="24" spans="1:8" ht="13.5">
      <c r="A24" s="22" t="s">
        <v>118</v>
      </c>
      <c r="B24" s="25">
        <f>SUM(B41:B53)</f>
        <v>0</v>
      </c>
      <c r="C24" s="25">
        <f>SUM(C41:C53)</f>
        <v>0</v>
      </c>
      <c r="D24" s="25">
        <f>SUM(D41:D53)</f>
        <v>0</v>
      </c>
      <c r="E24" s="25">
        <f>SUM(E41:E53)</f>
        <v>0</v>
      </c>
      <c r="F24" s="25">
        <f>SUM(F41:F53)</f>
        <v>0</v>
      </c>
      <c r="G24" s="141">
        <f t="shared" si="1"/>
        <v>0</v>
      </c>
      <c r="H24"/>
    </row>
    <row r="25" spans="1:8" ht="15" thickBot="1">
      <c r="A25" s="22" t="s">
        <v>119</v>
      </c>
      <c r="B25" s="230">
        <f>SUM(B20:B24)</f>
        <v>2205</v>
      </c>
      <c r="C25" s="25">
        <f>SUM(C20:C24)</f>
        <v>1412</v>
      </c>
      <c r="D25" s="230">
        <f>SUM(D20:D24)</f>
        <v>1877</v>
      </c>
      <c r="E25" s="230">
        <f>SUM(E20:E24)</f>
        <v>159</v>
      </c>
      <c r="F25" s="230">
        <f>SUM(F20:F24)</f>
        <v>1009</v>
      </c>
      <c r="G25" s="141">
        <f t="shared" si="1"/>
        <v>6662</v>
      </c>
      <c r="H25"/>
    </row>
    <row r="26" spans="1:8" ht="15.75" thickBot="1" thickTop="1">
      <c r="A26" s="227" t="s">
        <v>120</v>
      </c>
      <c r="B26" s="228">
        <f>B25-(B24+B23)</f>
        <v>2140</v>
      </c>
      <c r="C26" s="228">
        <f>C25-(C24+C23)</f>
        <v>1412</v>
      </c>
      <c r="D26" s="228">
        <f>D25-(D24+D23)</f>
        <v>1877</v>
      </c>
      <c r="E26" s="228">
        <f>E25-(E24+E23)</f>
        <v>159</v>
      </c>
      <c r="F26" s="228">
        <f>F25-(F24+F23)</f>
        <v>1009</v>
      </c>
      <c r="G26" s="229">
        <f>G25-G24</f>
        <v>6662</v>
      </c>
      <c r="H26"/>
    </row>
    <row r="27" spans="1:8" ht="15" thickTop="1">
      <c r="A27" s="142" t="s">
        <v>121</v>
      </c>
      <c r="B27" s="231">
        <f>B25-B22</f>
        <v>1746</v>
      </c>
      <c r="C27" s="231">
        <f>C25-C22</f>
        <v>1253</v>
      </c>
      <c r="D27" s="231">
        <f>D25-D22</f>
        <v>1318</v>
      </c>
      <c r="E27" s="231">
        <f>E25-E22</f>
        <v>0</v>
      </c>
      <c r="F27" s="231">
        <f>F25-F22</f>
        <v>850</v>
      </c>
      <c r="G27" s="231">
        <f>SUM(B27:F27)</f>
        <v>5167</v>
      </c>
      <c r="H27"/>
    </row>
    <row r="28" spans="1:8"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c r="G28" s="145" t="str">
        <f>IF((G27+G22)&lt;G25,"error",IF((G27+G22)&gt;G25,"error"," "))</f>
        <v> </v>
      </c>
      <c r="H28"/>
    </row>
    <row r="29" spans="1:8" ht="15" thickBot="1">
      <c r="A29" s="138" t="s">
        <v>117</v>
      </c>
      <c r="B29" s="154"/>
      <c r="C29" s="154"/>
      <c r="D29" s="154"/>
      <c r="E29" s="154"/>
      <c r="F29" s="154"/>
      <c r="G29" s="127" t="str">
        <f aca="true" t="shared" si="2" ref="G29:G38">A29</f>
        <v>Special Offerings/Funds</v>
      </c>
      <c r="H29"/>
    </row>
    <row r="30" spans="1:8" ht="13.5">
      <c r="A30" s="22" t="s">
        <v>155</v>
      </c>
      <c r="B30">
        <v>20</v>
      </c>
      <c r="C30" s="25"/>
      <c r="D30" s="25"/>
      <c r="E30" s="25"/>
      <c r="F30" s="25"/>
      <c r="G30" s="287">
        <v>20</v>
      </c>
      <c r="H30"/>
    </row>
    <row r="31" spans="1:8" ht="13.5">
      <c r="A31" s="22" t="s">
        <v>156</v>
      </c>
      <c r="B31" s="25">
        <v>45</v>
      </c>
      <c r="C31" s="25"/>
      <c r="D31" s="25"/>
      <c r="E31" s="25"/>
      <c r="G31" s="287">
        <v>45</v>
      </c>
      <c r="H31"/>
    </row>
    <row r="32" spans="1:8" ht="13.5">
      <c r="A32" s="22"/>
      <c r="B32" s="25"/>
      <c r="C32" s="25"/>
      <c r="D32" s="25"/>
      <c r="E32" s="25"/>
      <c r="G32" s="22">
        <f t="shared" si="2"/>
        <v>0</v>
      </c>
      <c r="H32"/>
    </row>
    <row r="33" spans="1:8" ht="13.5">
      <c r="A33" s="40"/>
      <c r="B33" s="25"/>
      <c r="C33" s="25"/>
      <c r="D33" s="25"/>
      <c r="E33" s="25"/>
      <c r="G33" s="22">
        <f t="shared" si="2"/>
        <v>0</v>
      </c>
      <c r="H33"/>
    </row>
    <row r="34" spans="1:8" ht="13.5">
      <c r="A34" s="22"/>
      <c r="B34" s="25"/>
      <c r="C34" s="25"/>
      <c r="D34" s="25"/>
      <c r="E34" s="25"/>
      <c r="G34" s="22">
        <f t="shared" si="2"/>
        <v>0</v>
      </c>
      <c r="H34"/>
    </row>
    <row r="35" spans="1:8" ht="13.5">
      <c r="A35" s="22"/>
      <c r="B35" s="25"/>
      <c r="C35" s="25"/>
      <c r="D35" s="25"/>
      <c r="E35" s="25"/>
      <c r="G35" s="22">
        <f t="shared" si="2"/>
        <v>0</v>
      </c>
      <c r="H35"/>
    </row>
    <row r="36" spans="1:8" ht="13.5">
      <c r="A36" s="22"/>
      <c r="B36" s="25"/>
      <c r="C36" s="25"/>
      <c r="D36" s="25"/>
      <c r="E36" s="25"/>
      <c r="G36" s="22">
        <f t="shared" si="2"/>
        <v>0</v>
      </c>
      <c r="H36"/>
    </row>
    <row r="37" spans="1:8" ht="13.5">
      <c r="A37" s="22"/>
      <c r="B37" s="25"/>
      <c r="C37" s="25"/>
      <c r="D37" s="25"/>
      <c r="E37" s="25"/>
      <c r="G37" s="22">
        <f t="shared" si="2"/>
        <v>0</v>
      </c>
      <c r="H37"/>
    </row>
    <row r="38" spans="1:8" ht="13.5">
      <c r="A38" s="22"/>
      <c r="B38" s="25"/>
      <c r="C38" s="25"/>
      <c r="D38" s="25"/>
      <c r="E38" s="25"/>
      <c r="G38" s="22">
        <f t="shared" si="2"/>
        <v>0</v>
      </c>
      <c r="H38"/>
    </row>
    <row r="39" spans="1:8" ht="13.5">
      <c r="A39" s="21"/>
      <c r="B39" s="25"/>
      <c r="C39" s="25"/>
      <c r="D39" s="25"/>
      <c r="E39" s="25"/>
      <c r="G39" s="22"/>
      <c r="H39"/>
    </row>
    <row r="40" spans="1:8" ht="15" thickBot="1">
      <c r="A40" s="127" t="s">
        <v>118</v>
      </c>
      <c r="B40" s="154"/>
      <c r="C40" s="154"/>
      <c r="D40" s="154"/>
      <c r="E40" s="154"/>
      <c r="G40" s="127" t="str">
        <f aca="true" t="shared" si="3" ref="G40:G48">A40</f>
        <v>Memorials</v>
      </c>
      <c r="H40"/>
    </row>
    <row r="41" spans="1:8" ht="13.5">
      <c r="A41" s="22"/>
      <c r="B41" s="25"/>
      <c r="C41" s="25"/>
      <c r="D41" s="25"/>
      <c r="E41" s="25"/>
      <c r="G41" s="22">
        <f t="shared" si="3"/>
        <v>0</v>
      </c>
      <c r="H41"/>
    </row>
    <row r="42" spans="1:8" ht="13.5">
      <c r="A42" s="22"/>
      <c r="B42" s="25"/>
      <c r="C42" s="25"/>
      <c r="D42" s="25"/>
      <c r="E42" s="25"/>
      <c r="G42" s="22">
        <f t="shared" si="3"/>
        <v>0</v>
      </c>
      <c r="H42"/>
    </row>
    <row r="43" spans="1:8" ht="13.5">
      <c r="A43" s="22"/>
      <c r="B43" s="25"/>
      <c r="C43" s="25"/>
      <c r="D43" s="25"/>
      <c r="E43" s="25"/>
      <c r="G43" s="22">
        <f t="shared" si="3"/>
        <v>0</v>
      </c>
      <c r="H43"/>
    </row>
    <row r="44" spans="1:8" ht="13.5">
      <c r="A44" s="40"/>
      <c r="B44" s="25"/>
      <c r="C44" s="25"/>
      <c r="D44" s="25"/>
      <c r="E44" s="25"/>
      <c r="G44" s="22">
        <f t="shared" si="3"/>
        <v>0</v>
      </c>
      <c r="H44"/>
    </row>
    <row r="45" spans="1:8" ht="13.5">
      <c r="A45" s="22"/>
      <c r="B45" s="25"/>
      <c r="C45" s="25"/>
      <c r="D45" s="25"/>
      <c r="E45" s="25"/>
      <c r="G45" s="22">
        <f t="shared" si="3"/>
        <v>0</v>
      </c>
      <c r="H45"/>
    </row>
    <row r="46" spans="1:8" ht="13.5">
      <c r="A46" s="22"/>
      <c r="B46" s="25"/>
      <c r="C46" s="25"/>
      <c r="D46" s="25"/>
      <c r="E46" s="25"/>
      <c r="G46" s="22">
        <f t="shared" si="3"/>
        <v>0</v>
      </c>
      <c r="H46"/>
    </row>
    <row r="47" spans="1:8" ht="13.5">
      <c r="A47" s="22"/>
      <c r="B47" s="25"/>
      <c r="C47" s="25"/>
      <c r="D47" s="25"/>
      <c r="E47" s="25"/>
      <c r="G47" s="22">
        <f t="shared" si="3"/>
        <v>0</v>
      </c>
      <c r="H47"/>
    </row>
    <row r="48" spans="1:8" ht="13.5">
      <c r="A48" s="22"/>
      <c r="B48" s="25"/>
      <c r="C48" s="25"/>
      <c r="D48" s="25"/>
      <c r="E48" s="25"/>
      <c r="G48" s="22">
        <f t="shared" si="3"/>
        <v>0</v>
      </c>
      <c r="H48"/>
    </row>
    <row r="49" spans="1:8" ht="13.5">
      <c r="A49" s="22"/>
      <c r="B49" s="25"/>
      <c r="C49" s="25"/>
      <c r="D49" s="25"/>
      <c r="E49" s="25"/>
      <c r="G49" s="22">
        <f>A49</f>
        <v>0</v>
      </c>
      <c r="H49"/>
    </row>
    <row r="50" spans="1:8" ht="13.5">
      <c r="A50" s="22"/>
      <c r="B50" s="25"/>
      <c r="C50" s="25"/>
      <c r="D50" s="25"/>
      <c r="E50" s="25"/>
      <c r="G50" s="22">
        <f>A50</f>
        <v>0</v>
      </c>
      <c r="H50"/>
    </row>
    <row r="51" spans="1:8" ht="13.5">
      <c r="A51" s="22"/>
      <c r="B51" s="25"/>
      <c r="C51" s="25"/>
      <c r="D51" s="25"/>
      <c r="E51" s="25"/>
      <c r="G51" s="22">
        <f>A51</f>
        <v>0</v>
      </c>
      <c r="H51"/>
    </row>
    <row r="52" spans="1:8" ht="13.5">
      <c r="A52" s="22"/>
      <c r="B52" s="25"/>
      <c r="C52" s="25"/>
      <c r="D52" s="25"/>
      <c r="E52" s="25"/>
      <c r="G52" s="22">
        <f>A52</f>
        <v>0</v>
      </c>
      <c r="H52"/>
    </row>
    <row r="53" spans="1:8" ht="13.5">
      <c r="A53" s="22"/>
      <c r="B53" s="25"/>
      <c r="C53" s="25"/>
      <c r="D53" s="25"/>
      <c r="E53" s="25"/>
      <c r="G53" s="22">
        <f>A53</f>
        <v>0</v>
      </c>
      <c r="H53"/>
    </row>
    <row r="54" spans="2:8" ht="13.5">
      <c r="B54" s="230"/>
      <c r="C54" s="230"/>
      <c r="D54" s="230"/>
      <c r="E54" s="230"/>
      <c r="G54" s="174"/>
      <c r="H54"/>
    </row>
    <row r="55" spans="1:8" ht="13.5">
      <c r="A55" s="22"/>
      <c r="B55" s="230"/>
      <c r="C55" s="230"/>
      <c r="D55" s="230"/>
      <c r="E55" s="230"/>
      <c r="G55" s="174"/>
      <c r="H55"/>
    </row>
    <row r="56" spans="1:8" ht="13.5">
      <c r="A56" s="22"/>
      <c r="B56" s="230"/>
      <c r="C56" s="230"/>
      <c r="D56" s="230"/>
      <c r="E56" s="230"/>
      <c r="G56" s="174"/>
      <c r="H56"/>
    </row>
    <row r="57" spans="1:8" ht="13.5">
      <c r="A57" s="22"/>
      <c r="B57" s="230"/>
      <c r="C57" s="230"/>
      <c r="D57" s="230"/>
      <c r="E57" s="230"/>
      <c r="G57" s="174"/>
      <c r="H57"/>
    </row>
    <row r="58" spans="1:8" ht="13.5">
      <c r="A58" s="22"/>
      <c r="B58" s="230"/>
      <c r="C58" s="230"/>
      <c r="D58" s="230"/>
      <c r="E58" s="230"/>
      <c r="G58" s="174"/>
      <c r="H58"/>
    </row>
    <row r="59" spans="1:8" ht="13.5">
      <c r="A59" s="22"/>
      <c r="B59" s="230"/>
      <c r="C59" s="230"/>
      <c r="D59" s="230"/>
      <c r="E59" s="230"/>
      <c r="G59" s="174"/>
      <c r="H59"/>
    </row>
    <row r="60" spans="1:8" ht="13.5">
      <c r="A60" s="22"/>
      <c r="B60" s="230"/>
      <c r="C60" s="230"/>
      <c r="D60" s="230"/>
      <c r="E60" s="230"/>
      <c r="G60" s="174"/>
      <c r="H60"/>
    </row>
    <row r="61" spans="1:8" ht="13.5">
      <c r="A61" s="22"/>
      <c r="B61" s="230"/>
      <c r="C61" s="230"/>
      <c r="D61" s="230"/>
      <c r="E61" s="230"/>
      <c r="F61" s="230"/>
      <c r="G61" s="174"/>
      <c r="H61"/>
    </row>
    <row r="62" spans="1:8" ht="13.5">
      <c r="A62" s="22"/>
      <c r="B62" s="230"/>
      <c r="C62" s="230"/>
      <c r="D62" s="230"/>
      <c r="E62" s="230"/>
      <c r="F62" s="230"/>
      <c r="G62" s="174"/>
      <c r="H62"/>
    </row>
    <row r="63" spans="1:8" ht="13.5">
      <c r="A63" s="22"/>
      <c r="B63" s="230"/>
      <c r="C63" s="230"/>
      <c r="D63" s="230"/>
      <c r="E63" s="230"/>
      <c r="F63" s="230"/>
      <c r="G63" s="174"/>
      <c r="H63"/>
    </row>
    <row r="64" spans="1:8" ht="13.5">
      <c r="A64" s="22"/>
      <c r="B64" s="230"/>
      <c r="C64" s="230"/>
      <c r="D64" s="230"/>
      <c r="E64" s="230"/>
      <c r="F64" s="230"/>
      <c r="G64" s="174"/>
      <c r="H64"/>
    </row>
    <row r="65" spans="1:8" ht="13.5">
      <c r="A65" s="22"/>
      <c r="B65" s="230"/>
      <c r="C65" s="230"/>
      <c r="D65" s="230"/>
      <c r="E65" s="230"/>
      <c r="F65" s="230"/>
      <c r="G65" s="41"/>
      <c r="H65"/>
    </row>
    <row r="66" spans="1:8" ht="13.5">
      <c r="A66" s="22"/>
      <c r="B66" s="230"/>
      <c r="C66" s="230"/>
      <c r="D66" s="230"/>
      <c r="E66" s="230"/>
      <c r="F66" s="230"/>
      <c r="G66" s="21"/>
      <c r="H66"/>
    </row>
    <row r="67" ht="13.5">
      <c r="H67" s="21"/>
    </row>
    <row r="68" ht="13.5">
      <c r="H68" s="21"/>
    </row>
    <row r="69" ht="13.5">
      <c r="H69" s="21"/>
    </row>
    <row r="70" ht="13.5">
      <c r="H70" s="21"/>
    </row>
    <row r="71" ht="13.5">
      <c r="H71" s="21"/>
    </row>
    <row r="72" ht="13.5">
      <c r="H72"/>
    </row>
    <row r="73" ht="13.5">
      <c r="H73"/>
    </row>
    <row r="74" ht="13.5">
      <c r="H74"/>
    </row>
    <row r="75" ht="13.5">
      <c r="H75"/>
    </row>
    <row r="76" ht="13.5">
      <c r="H76"/>
    </row>
    <row r="77" ht="13.5">
      <c r="H77"/>
    </row>
    <row r="78" ht="13.5">
      <c r="H78"/>
    </row>
    <row r="79" ht="13.5">
      <c r="H79"/>
    </row>
    <row r="80" ht="13.5">
      <c r="H80"/>
    </row>
    <row r="81" ht="13.5">
      <c r="H81"/>
    </row>
    <row r="82" ht="13.5">
      <c r="H82"/>
    </row>
    <row r="83" ht="13.5">
      <c r="H83"/>
    </row>
    <row r="84" ht="13.5">
      <c r="H84"/>
    </row>
    <row r="85" ht="13.5">
      <c r="H85"/>
    </row>
    <row r="86" ht="13.5">
      <c r="H86"/>
    </row>
    <row r="87" ht="13.5">
      <c r="H87"/>
    </row>
    <row r="88" ht="13.5">
      <c r="H88"/>
    </row>
    <row r="89" ht="13.5">
      <c r="H89"/>
    </row>
    <row r="90" ht="13.5">
      <c r="H90"/>
    </row>
    <row r="91" ht="13.5">
      <c r="H91"/>
    </row>
    <row r="92" ht="13.5">
      <c r="H92"/>
    </row>
    <row r="93" ht="13.5">
      <c r="H93"/>
    </row>
  </sheetData>
  <sheetProtection/>
  <printOptions gridLines="1"/>
  <pageMargins left="0.5" right="0" top="0.74" bottom="0" header="0.5" footer="0.5"/>
  <pageSetup fitToHeight="1" fitToWidth="1" orientation="portrait" scale="62"/>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G22" sqref="G22"/>
    </sheetView>
  </sheetViews>
  <sheetFormatPr defaultColWidth="11.375" defaultRowHeight="12.75"/>
  <cols>
    <col min="1" max="1" width="24.75390625" style="0" customWidth="1"/>
    <col min="2" max="5" width="13.75390625" style="146" customWidth="1"/>
    <col min="6" max="6" width="24.75390625" style="0" customWidth="1"/>
    <col min="7" max="7" width="20.875" style="0" customWidth="1"/>
  </cols>
  <sheetData>
    <row r="1" spans="1:5" ht="13.5">
      <c r="A1" s="122">
        <f ca="1">TODAY()</f>
        <v>42757</v>
      </c>
      <c r="B1" s="123" t="s">
        <v>98</v>
      </c>
      <c r="C1" s="123"/>
      <c r="D1" s="123"/>
      <c r="E1" s="25"/>
    </row>
    <row r="2" spans="1:5" ht="13.5">
      <c r="A2" s="21"/>
      <c r="B2" s="123" t="s">
        <v>99</v>
      </c>
      <c r="C2" s="123"/>
      <c r="D2" s="123"/>
      <c r="E2"/>
    </row>
    <row r="3" spans="1:5" ht="15" thickBot="1">
      <c r="A3" s="21"/>
      <c r="B3" s="25"/>
      <c r="C3" s="25"/>
      <c r="D3" s="25"/>
      <c r="E3" s="25"/>
    </row>
    <row r="4" spans="2:5" ht="13.5">
      <c r="B4" s="124" t="s">
        <v>100</v>
      </c>
      <c r="C4" s="125" t="s">
        <v>101</v>
      </c>
      <c r="D4" s="126" t="s">
        <v>102</v>
      </c>
      <c r="E4" s="126" t="s">
        <v>103</v>
      </c>
    </row>
    <row r="5" spans="1:5" ht="15" thickBot="1">
      <c r="A5" s="127" t="s">
        <v>104</v>
      </c>
      <c r="B5" s="128" t="s">
        <v>6</v>
      </c>
      <c r="C5" s="281">
        <v>2020</v>
      </c>
      <c r="D5" s="282">
        <v>2019</v>
      </c>
      <c r="E5" s="152" t="s">
        <v>149</v>
      </c>
    </row>
    <row r="6" spans="1:5" ht="13.5">
      <c r="A6" s="134" t="s">
        <v>123</v>
      </c>
      <c r="B6" s="232">
        <v>1941</v>
      </c>
      <c r="C6" s="132">
        <f>B6+March!C6</f>
        <v>6334</v>
      </c>
      <c r="D6" s="25">
        <v>5040</v>
      </c>
      <c r="E6" s="25">
        <f aca="true" t="shared" si="0" ref="E6:E13">C6-D6</f>
        <v>1294</v>
      </c>
    </row>
    <row r="7" spans="1:5" ht="13.5">
      <c r="A7" s="133" t="s">
        <v>105</v>
      </c>
      <c r="B7" s="232">
        <f>G20</f>
        <v>0</v>
      </c>
      <c r="C7" s="233">
        <f>B7+March!C7</f>
        <v>398</v>
      </c>
      <c r="D7" s="25">
        <v>808.01</v>
      </c>
      <c r="E7" s="25">
        <f t="shared" si="0"/>
        <v>-410.01</v>
      </c>
    </row>
    <row r="8" spans="1:5" ht="13.5">
      <c r="A8" s="133" t="s">
        <v>92</v>
      </c>
      <c r="B8" s="232">
        <v>9870</v>
      </c>
      <c r="C8" s="233">
        <f>B8+March!C8</f>
        <v>20366.75</v>
      </c>
      <c r="D8" s="25">
        <v>16619</v>
      </c>
      <c r="E8" s="25">
        <f t="shared" si="0"/>
        <v>3747.75</v>
      </c>
    </row>
    <row r="9" spans="1:5" ht="13.5">
      <c r="A9" s="133" t="s">
        <v>106</v>
      </c>
      <c r="B9" s="232">
        <f>G23</f>
        <v>0</v>
      </c>
      <c r="C9" s="233">
        <f>B9+March!C9</f>
        <v>162.18</v>
      </c>
      <c r="D9" s="25">
        <v>2254.16</v>
      </c>
      <c r="E9" s="25">
        <f t="shared" si="0"/>
        <v>-2091.98</v>
      </c>
    </row>
    <row r="10" spans="1:5" ht="13.5">
      <c r="A10" s="133" t="s">
        <v>107</v>
      </c>
      <c r="B10" s="232">
        <f>G24</f>
        <v>0</v>
      </c>
      <c r="C10" s="233">
        <f>B10+March!C10</f>
        <v>0</v>
      </c>
      <c r="D10" s="25">
        <v>300</v>
      </c>
      <c r="E10" s="25">
        <f t="shared" si="0"/>
        <v>-300</v>
      </c>
    </row>
    <row r="11" spans="1:5" ht="15" thickBot="1">
      <c r="A11" s="134" t="s">
        <v>108</v>
      </c>
      <c r="B11" s="232">
        <f>SUM(B6:B10)</f>
        <v>11811</v>
      </c>
      <c r="C11" s="233">
        <f>B11+March!C11</f>
        <v>27260.93</v>
      </c>
      <c r="D11" s="25">
        <v>23601.17</v>
      </c>
      <c r="E11" s="25">
        <f t="shared" si="0"/>
        <v>3659.760000000002</v>
      </c>
    </row>
    <row r="12" spans="1:6" ht="15.75" thickBot="1" thickTop="1">
      <c r="A12" s="190" t="s">
        <v>109</v>
      </c>
      <c r="B12" s="268">
        <v>11811</v>
      </c>
      <c r="C12" s="268">
        <f>B12+March!C12</f>
        <v>27237.75</v>
      </c>
      <c r="D12" s="25">
        <v>30493.17</v>
      </c>
      <c r="E12" s="25">
        <f t="shared" si="0"/>
        <v>-3255.4199999999983</v>
      </c>
      <c r="F12" t="s">
        <v>127</v>
      </c>
    </row>
    <row r="13" spans="1:5" ht="13.5">
      <c r="A13" s="22" t="s">
        <v>110</v>
      </c>
      <c r="B13" s="131">
        <v>9106.33</v>
      </c>
      <c r="C13" s="132">
        <f>B13*4</f>
        <v>36425.32</v>
      </c>
      <c r="D13" s="25">
        <v>33400</v>
      </c>
      <c r="E13" s="25">
        <f t="shared" si="0"/>
        <v>3025.3199999999997</v>
      </c>
    </row>
    <row r="14" spans="1:5" ht="15" thickBot="1">
      <c r="A14" s="22" t="s">
        <v>122</v>
      </c>
      <c r="B14" s="135">
        <f>B12-B13</f>
        <v>2704.67</v>
      </c>
      <c r="C14" s="136">
        <f>C12-C13</f>
        <v>-9187.57</v>
      </c>
      <c r="D14" s="25">
        <f>D12-D13</f>
        <v>-2906.8300000000017</v>
      </c>
      <c r="E14" s="25"/>
    </row>
    <row r="15" spans="1:5" ht="13.5">
      <c r="A15" s="22" t="s">
        <v>112</v>
      </c>
      <c r="B15" s="156">
        <f>B12/B13</f>
        <v>1.2970098821369311</v>
      </c>
      <c r="C15" s="156">
        <f>C12/C13</f>
        <v>0.7477696832862416</v>
      </c>
      <c r="D15" s="156">
        <f>D12/D13</f>
        <v>0.9129691616766467</v>
      </c>
      <c r="E15" s="25"/>
    </row>
    <row r="16" spans="2:12" ht="13.5">
      <c r="B16" s="25"/>
      <c r="C16" s="25"/>
      <c r="D16"/>
      <c r="E16" s="25"/>
      <c r="F16" s="21"/>
      <c r="G16" s="22"/>
      <c r="H16" s="25"/>
      <c r="I16" s="25"/>
      <c r="J16" s="25"/>
      <c r="K16" s="25"/>
      <c r="L16" s="21"/>
    </row>
    <row r="17" spans="2:12" ht="13.5">
      <c r="B17" s="137" t="s">
        <v>84</v>
      </c>
      <c r="C17" s="137" t="s">
        <v>84</v>
      </c>
      <c r="D17" s="137" t="s">
        <v>84</v>
      </c>
      <c r="E17" s="137" t="s">
        <v>84</v>
      </c>
      <c r="F17" s="31" t="s">
        <v>113</v>
      </c>
      <c r="G17" s="22"/>
      <c r="H17" s="25"/>
      <c r="I17" s="25"/>
      <c r="J17" s="25"/>
      <c r="K17" s="25"/>
      <c r="L17" s="21"/>
    </row>
    <row r="18" spans="1:12" ht="15" thickBot="1">
      <c r="A18" s="138" t="s">
        <v>114</v>
      </c>
      <c r="B18" s="139">
        <f>'2020 Wkly Log'!T3</f>
        <v>42464</v>
      </c>
      <c r="C18" s="139">
        <f>'2020 Wkly Log'!U3</f>
        <v>42471</v>
      </c>
      <c r="D18" s="139">
        <f>'2020 Wkly Log'!V3</f>
        <v>42478</v>
      </c>
      <c r="E18" s="139">
        <f>'2020 Wkly Log'!W3</f>
        <v>42485</v>
      </c>
      <c r="F18" s="151" t="str">
        <f>B5</f>
        <v>April</v>
      </c>
      <c r="G18" s="22"/>
      <c r="H18" s="25"/>
      <c r="I18" s="25"/>
      <c r="J18" s="25"/>
      <c r="K18" s="25"/>
      <c r="L18" s="21"/>
    </row>
    <row r="19" spans="1:12" ht="13.5">
      <c r="A19" s="22"/>
      <c r="B19" s="168"/>
      <c r="C19" s="168"/>
      <c r="D19" s="168"/>
      <c r="E19" s="168"/>
      <c r="F19" s="168"/>
      <c r="G19" s="21"/>
      <c r="H19" s="21"/>
      <c r="I19" s="21"/>
      <c r="J19" s="21"/>
      <c r="K19" s="21"/>
      <c r="L19" s="21"/>
    </row>
    <row r="20" spans="1:6" ht="13.5">
      <c r="A20" s="22" t="s">
        <v>105</v>
      </c>
      <c r="B20" s="25">
        <v>0</v>
      </c>
      <c r="C20" s="25"/>
      <c r="D20" s="25"/>
      <c r="E20" s="25"/>
      <c r="F20" s="141">
        <f aca="true" t="shared" si="1" ref="F20:F25">SUM(B20:E20)</f>
        <v>0</v>
      </c>
    </row>
    <row r="21" spans="1:6" ht="13.5">
      <c r="A21" s="22" t="s">
        <v>115</v>
      </c>
      <c r="B21" s="25">
        <v>6905</v>
      </c>
      <c r="C21" s="25">
        <v>875</v>
      </c>
      <c r="D21" s="25">
        <v>1300</v>
      </c>
      <c r="E21" s="25">
        <v>790</v>
      </c>
      <c r="F21" s="141">
        <f t="shared" si="1"/>
        <v>9870</v>
      </c>
    </row>
    <row r="22" spans="1:6" ht="13.5">
      <c r="A22" s="22" t="s">
        <v>116</v>
      </c>
      <c r="B22" s="25">
        <v>679</v>
      </c>
      <c r="C22" s="25">
        <v>409</v>
      </c>
      <c r="D22" s="25">
        <v>694</v>
      </c>
      <c r="E22" s="25">
        <v>159</v>
      </c>
      <c r="F22" s="141">
        <f t="shared" si="1"/>
        <v>1941</v>
      </c>
    </row>
    <row r="23" spans="1:6" ht="13.5">
      <c r="A23" s="22" t="s">
        <v>117</v>
      </c>
      <c r="B23" s="25">
        <f>SUM(B30:B38)</f>
        <v>0</v>
      </c>
      <c r="C23" s="25">
        <f>SUM(C30:C38)</f>
        <v>0</v>
      </c>
      <c r="D23" s="25">
        <f>SUM(D30:D38)</f>
        <v>0</v>
      </c>
      <c r="E23" s="25">
        <f>SUM(E30:E38)</f>
        <v>0</v>
      </c>
      <c r="F23" s="141">
        <f t="shared" si="1"/>
        <v>0</v>
      </c>
    </row>
    <row r="24" spans="1:6" ht="13.5">
      <c r="A24" s="22" t="s">
        <v>118</v>
      </c>
      <c r="B24" s="25">
        <f>SUM(B41:B53)</f>
        <v>0</v>
      </c>
      <c r="C24" s="25">
        <f>SUM(C41:C53)</f>
        <v>0</v>
      </c>
      <c r="D24" s="25">
        <f>SUM(D41:D53)</f>
        <v>0</v>
      </c>
      <c r="E24" s="25">
        <f>SUM(E41:E53)</f>
        <v>0</v>
      </c>
      <c r="F24" s="141">
        <f t="shared" si="1"/>
        <v>0</v>
      </c>
    </row>
    <row r="25" spans="1:6" ht="15" thickBot="1">
      <c r="A25" s="22" t="s">
        <v>119</v>
      </c>
      <c r="B25" s="230">
        <f>SUM(B20:B24)</f>
        <v>7584</v>
      </c>
      <c r="C25" s="230">
        <f>SUM(C20:C24)</f>
        <v>1284</v>
      </c>
      <c r="D25" s="230">
        <f>SUM(D20:D24)</f>
        <v>1994</v>
      </c>
      <c r="E25" s="230">
        <f>SUM(E20:E24)</f>
        <v>949</v>
      </c>
      <c r="F25" s="141">
        <f t="shared" si="1"/>
        <v>11811</v>
      </c>
    </row>
    <row r="26" spans="1:6" ht="15.75" thickBot="1" thickTop="1">
      <c r="A26" s="191" t="s">
        <v>120</v>
      </c>
      <c r="B26" s="192">
        <f>B25-(B24+B23)</f>
        <v>7584</v>
      </c>
      <c r="C26" s="192">
        <f>C25-(C24+C23)</f>
        <v>1284</v>
      </c>
      <c r="D26" s="192">
        <f>D25-(D24+D23)</f>
        <v>1994</v>
      </c>
      <c r="E26" s="192">
        <f>E25-(E24+E23)</f>
        <v>949</v>
      </c>
      <c r="F26" s="267">
        <f>F25-F24</f>
        <v>11811</v>
      </c>
    </row>
    <row r="27" spans="1:6" ht="13.5">
      <c r="A27" s="142" t="s">
        <v>121</v>
      </c>
      <c r="B27" s="143">
        <f>B25-B22</f>
        <v>6905</v>
      </c>
      <c r="C27" s="143">
        <f>C25-C22</f>
        <v>875</v>
      </c>
      <c r="D27" s="143">
        <f>D25-D22</f>
        <v>1300</v>
      </c>
      <c r="E27" s="143">
        <f>E25-E22</f>
        <v>790</v>
      </c>
      <c r="F27" s="231">
        <f>SUM(B27:E27)</f>
        <v>9870</v>
      </c>
    </row>
    <row r="28" spans="1:6"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row>
    <row r="29" spans="1:6" ht="15" thickBot="1">
      <c r="A29" s="138" t="s">
        <v>117</v>
      </c>
      <c r="B29" s="154"/>
      <c r="C29" s="154"/>
      <c r="D29" s="154"/>
      <c r="E29" s="154"/>
      <c r="F29" s="127" t="str">
        <f aca="true" t="shared" si="2" ref="F29:F38">A29</f>
        <v>Special Offerings/Funds</v>
      </c>
    </row>
    <row r="30" spans="1:6" ht="13.5">
      <c r="A30" s="22"/>
      <c r="B30"/>
      <c r="C30" s="25"/>
      <c r="D30" s="25"/>
      <c r="E30" s="285"/>
      <c r="F30" s="22"/>
    </row>
    <row r="31" spans="1:6" ht="13.5">
      <c r="A31" s="22"/>
      <c r="B31" s="25"/>
      <c r="C31" s="25"/>
      <c r="D31" s="25"/>
      <c r="E31" s="25"/>
      <c r="F31" s="22"/>
    </row>
    <row r="32" spans="1:6" ht="13.5">
      <c r="A32" s="22"/>
      <c r="B32" s="25"/>
      <c r="C32" s="25"/>
      <c r="D32" s="285"/>
      <c r="E32" s="25"/>
      <c r="F32" s="22"/>
    </row>
    <row r="33" spans="1:6" ht="13.5">
      <c r="A33" s="40"/>
      <c r="B33" s="25"/>
      <c r="C33" s="25"/>
      <c r="D33" s="25"/>
      <c r="E33" s="25"/>
      <c r="F33" s="22">
        <f t="shared" si="2"/>
        <v>0</v>
      </c>
    </row>
    <row r="34" spans="1:6" ht="13.5">
      <c r="A34" s="22"/>
      <c r="B34" s="25"/>
      <c r="C34" s="25"/>
      <c r="D34" s="25"/>
      <c r="E34" s="25"/>
      <c r="F34" s="22">
        <f t="shared" si="2"/>
        <v>0</v>
      </c>
    </row>
    <row r="35" spans="1:6" ht="13.5">
      <c r="A35" s="22"/>
      <c r="B35" s="25"/>
      <c r="C35" s="25"/>
      <c r="D35" s="25"/>
      <c r="E35" s="25"/>
      <c r="F35" s="22">
        <f t="shared" si="2"/>
        <v>0</v>
      </c>
    </row>
    <row r="36" spans="1:6" ht="13.5">
      <c r="A36" s="22"/>
      <c r="B36" s="25"/>
      <c r="C36" s="25"/>
      <c r="D36" s="25"/>
      <c r="E36" s="25"/>
      <c r="F36" s="22">
        <f t="shared" si="2"/>
        <v>0</v>
      </c>
    </row>
    <row r="37" spans="1:6" ht="13.5">
      <c r="A37" s="22"/>
      <c r="B37" s="25"/>
      <c r="C37" s="25"/>
      <c r="D37" s="25"/>
      <c r="E37" s="25"/>
      <c r="F37" s="22">
        <f t="shared" si="2"/>
        <v>0</v>
      </c>
    </row>
    <row r="38" spans="1:6" ht="13.5">
      <c r="A38" s="22"/>
      <c r="B38" s="25"/>
      <c r="C38" s="25"/>
      <c r="D38" s="25"/>
      <c r="E38" s="25"/>
      <c r="F38" s="22">
        <f t="shared" si="2"/>
        <v>0</v>
      </c>
    </row>
    <row r="39" spans="1:6" ht="13.5">
      <c r="A39" s="21"/>
      <c r="B39" s="25"/>
      <c r="C39" s="25"/>
      <c r="D39" s="25"/>
      <c r="E39" s="25"/>
      <c r="F39" s="22"/>
    </row>
    <row r="40" spans="1:6" ht="15" thickBot="1">
      <c r="A40" s="127" t="s">
        <v>118</v>
      </c>
      <c r="B40" s="154"/>
      <c r="C40" s="154"/>
      <c r="D40" s="154"/>
      <c r="E40" s="154"/>
      <c r="F40" s="127" t="str">
        <f aca="true" t="shared" si="3" ref="F40:F48">A40</f>
        <v>Memorials</v>
      </c>
    </row>
    <row r="41" spans="1:6" ht="13.5">
      <c r="A41" s="22"/>
      <c r="B41" s="25"/>
      <c r="C41" s="25"/>
      <c r="D41" s="25"/>
      <c r="E41" s="25"/>
      <c r="F41" s="22">
        <f t="shared" si="3"/>
        <v>0</v>
      </c>
    </row>
    <row r="42" spans="1:6" ht="13.5">
      <c r="A42" s="22"/>
      <c r="B42" s="25"/>
      <c r="C42" s="25"/>
      <c r="D42" s="25"/>
      <c r="E42" s="25"/>
      <c r="F42" s="22">
        <f t="shared" si="3"/>
        <v>0</v>
      </c>
    </row>
    <row r="43" spans="1:6" ht="13.5">
      <c r="A43" s="22"/>
      <c r="B43" s="25"/>
      <c r="C43" s="25"/>
      <c r="D43" s="25"/>
      <c r="E43" s="25"/>
      <c r="F43" s="22">
        <f t="shared" si="3"/>
        <v>0</v>
      </c>
    </row>
    <row r="44" spans="1:6" ht="13.5">
      <c r="A44" s="40"/>
      <c r="B44" s="25"/>
      <c r="C44" s="25"/>
      <c r="D44" s="25"/>
      <c r="E44" s="25"/>
      <c r="F44" s="22">
        <f t="shared" si="3"/>
        <v>0</v>
      </c>
    </row>
    <row r="45" spans="1:6" ht="13.5">
      <c r="A45" s="22"/>
      <c r="B45" s="25"/>
      <c r="C45" s="25"/>
      <c r="D45" s="25"/>
      <c r="E45" s="25"/>
      <c r="F45" s="22">
        <f t="shared" si="3"/>
        <v>0</v>
      </c>
    </row>
    <row r="46" spans="1:6" ht="13.5">
      <c r="A46" s="22"/>
      <c r="B46" s="25"/>
      <c r="C46" s="25"/>
      <c r="D46" s="25"/>
      <c r="E46" s="25"/>
      <c r="F46" s="22">
        <f t="shared" si="3"/>
        <v>0</v>
      </c>
    </row>
    <row r="47" spans="1:6" ht="13.5">
      <c r="A47" s="22"/>
      <c r="B47" s="25"/>
      <c r="C47" s="25"/>
      <c r="D47" s="25"/>
      <c r="E47" s="25"/>
      <c r="F47" s="22">
        <f t="shared" si="3"/>
        <v>0</v>
      </c>
    </row>
    <row r="48" spans="1:6" ht="13.5">
      <c r="A48" s="22"/>
      <c r="B48" s="25"/>
      <c r="C48" s="25"/>
      <c r="D48" s="25"/>
      <c r="E48" s="25"/>
      <c r="F48" s="22">
        <f t="shared" si="3"/>
        <v>0</v>
      </c>
    </row>
    <row r="49" spans="1:6" ht="13.5">
      <c r="A49" s="22"/>
      <c r="B49" s="25"/>
      <c r="C49" s="25"/>
      <c r="D49" s="25"/>
      <c r="E49" s="25"/>
      <c r="F49" s="22">
        <f>A49</f>
        <v>0</v>
      </c>
    </row>
    <row r="50" spans="1:6" ht="13.5">
      <c r="A50" s="22"/>
      <c r="B50" s="25"/>
      <c r="C50" s="25"/>
      <c r="D50" s="25"/>
      <c r="E50" s="25"/>
      <c r="F50" s="22">
        <f>A50</f>
        <v>0</v>
      </c>
    </row>
    <row r="51" spans="1:6" ht="13.5">
      <c r="A51" s="22"/>
      <c r="B51" s="25"/>
      <c r="C51" s="25"/>
      <c r="D51" s="25"/>
      <c r="E51" s="25"/>
      <c r="F51" s="22">
        <f>A51</f>
        <v>0</v>
      </c>
    </row>
    <row r="52" spans="1:6" ht="13.5">
      <c r="A52" s="22"/>
      <c r="B52" s="25"/>
      <c r="C52" s="25"/>
      <c r="D52" s="25"/>
      <c r="E52" s="25"/>
      <c r="F52" s="22">
        <f>A52</f>
        <v>0</v>
      </c>
    </row>
    <row r="53" spans="1:6" ht="13.5">
      <c r="A53" s="22"/>
      <c r="B53" s="25"/>
      <c r="C53" s="25"/>
      <c r="D53" s="25"/>
      <c r="E53" s="25"/>
      <c r="F53" s="22">
        <f>A53</f>
        <v>0</v>
      </c>
    </row>
    <row r="54" spans="1:6" ht="13.5">
      <c r="A54" s="22"/>
      <c r="B54" s="25"/>
      <c r="C54" s="25"/>
      <c r="D54" s="25"/>
      <c r="E54" s="25"/>
      <c r="F54" s="174"/>
    </row>
    <row r="55" spans="1:6" ht="13.5">
      <c r="A55" s="22"/>
      <c r="B55" s="25"/>
      <c r="C55" s="25"/>
      <c r="D55" s="25"/>
      <c r="E55" s="25"/>
      <c r="F55" s="174"/>
    </row>
    <row r="56" spans="1:6" ht="13.5">
      <c r="A56" s="22"/>
      <c r="B56" s="25"/>
      <c r="C56" s="25"/>
      <c r="D56" s="25"/>
      <c r="E56" s="25"/>
      <c r="F56" s="174"/>
    </row>
    <row r="57" spans="1:6" ht="13.5">
      <c r="A57" s="22"/>
      <c r="B57" s="25"/>
      <c r="C57" s="25"/>
      <c r="D57" s="25"/>
      <c r="E57" s="25"/>
      <c r="F57" s="174"/>
    </row>
    <row r="58" spans="1:6" ht="13.5">
      <c r="A58" s="22"/>
      <c r="B58" s="25"/>
      <c r="C58" s="25"/>
      <c r="D58" s="25"/>
      <c r="E58" s="25"/>
      <c r="F58" s="174"/>
    </row>
    <row r="59" spans="1:6" ht="13.5">
      <c r="A59" s="22"/>
      <c r="B59" s="25"/>
      <c r="C59" s="25"/>
      <c r="D59" s="25"/>
      <c r="E59" s="25"/>
      <c r="F59" s="174"/>
    </row>
    <row r="60" spans="1:6" ht="13.5">
      <c r="A60" s="22"/>
      <c r="B60" s="25"/>
      <c r="C60" s="25"/>
      <c r="D60" s="25"/>
      <c r="E60" s="25"/>
      <c r="F60" s="174"/>
    </row>
    <row r="61" spans="1:6" ht="13.5">
      <c r="A61" s="22"/>
      <c r="B61" s="25"/>
      <c r="C61" s="25"/>
      <c r="D61" s="25"/>
      <c r="E61" s="25"/>
      <c r="F61" s="174"/>
    </row>
    <row r="62" spans="1:6" ht="13.5">
      <c r="A62" s="22"/>
      <c r="B62" s="25"/>
      <c r="C62" s="25"/>
      <c r="D62" s="25"/>
      <c r="E62" s="25"/>
      <c r="F62" s="174"/>
    </row>
    <row r="63" spans="1:6" ht="13.5">
      <c r="A63" s="22"/>
      <c r="B63" s="25"/>
      <c r="C63" s="25"/>
      <c r="D63" s="25"/>
      <c r="E63" s="25"/>
      <c r="F63" s="173"/>
    </row>
    <row r="64" spans="1:6" ht="13.5">
      <c r="A64" s="22"/>
      <c r="B64" s="25"/>
      <c r="C64" s="25"/>
      <c r="D64" s="25"/>
      <c r="E64" s="25"/>
      <c r="F64" s="173"/>
    </row>
    <row r="65" spans="1:6" ht="13.5">
      <c r="A65" s="22"/>
      <c r="B65" s="25"/>
      <c r="C65" s="25"/>
      <c r="D65" s="25"/>
      <c r="E65" s="25"/>
      <c r="F65" s="173"/>
    </row>
    <row r="66" spans="1:6" ht="13.5">
      <c r="A66" s="22"/>
      <c r="B66" s="25"/>
      <c r="C66" s="25"/>
      <c r="D66" s="25"/>
      <c r="E66" s="25"/>
      <c r="F66" s="21"/>
    </row>
    <row r="67" ht="13.5">
      <c r="F67" s="21"/>
    </row>
    <row r="68" ht="13.5">
      <c r="F68" s="21"/>
    </row>
    <row r="69" ht="13.5">
      <c r="F69" s="21"/>
    </row>
    <row r="70" ht="13.5">
      <c r="F70" s="21"/>
    </row>
    <row r="71" ht="13.5">
      <c r="F71" s="21"/>
    </row>
  </sheetData>
  <sheetProtection/>
  <printOptions gridLines="1"/>
  <pageMargins left="0.4" right="0.56" top="0.67" bottom="0.51" header="0.5" footer="0.5"/>
  <pageSetup fitToHeight="1" fitToWidth="1" orientation="portrait" scale="74"/>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1:N72"/>
  <sheetViews>
    <sheetView zoomScalePageLayoutView="0" workbookViewId="0" topLeftCell="A1">
      <selection activeCell="J28" sqref="J28"/>
    </sheetView>
  </sheetViews>
  <sheetFormatPr defaultColWidth="11.375" defaultRowHeight="12.75"/>
  <cols>
    <col min="1" max="1" width="22.75390625" style="0" customWidth="1"/>
    <col min="2" max="4" width="13.75390625" style="146" customWidth="1"/>
    <col min="5" max="5" width="14.75390625" style="146" customWidth="1"/>
    <col min="6" max="6" width="13.375" style="239" customWidth="1"/>
    <col min="7" max="7" width="23.125" style="0" customWidth="1"/>
    <col min="8" max="8" width="20.00390625" style="0" customWidth="1"/>
  </cols>
  <sheetData>
    <row r="1" spans="1:6" ht="13.5">
      <c r="A1" s="122">
        <f ca="1">TODAY()</f>
        <v>42757</v>
      </c>
      <c r="B1" s="123" t="s">
        <v>98</v>
      </c>
      <c r="C1" s="123"/>
      <c r="D1" s="123"/>
      <c r="E1" s="25"/>
      <c r="F1" s="230"/>
    </row>
    <row r="2" spans="1:6" ht="13.5">
      <c r="A2" s="21"/>
      <c r="B2" s="123" t="s">
        <v>99</v>
      </c>
      <c r="C2" s="123"/>
      <c r="D2" s="123"/>
      <c r="E2"/>
      <c r="F2"/>
    </row>
    <row r="3" spans="1:6" ht="15" thickBot="1">
      <c r="A3" s="21"/>
      <c r="B3" s="25"/>
      <c r="C3" s="25"/>
      <c r="D3" s="25"/>
      <c r="E3" s="25"/>
      <c r="F3" s="231"/>
    </row>
    <row r="4" spans="2:5" ht="13.5">
      <c r="B4" s="124" t="s">
        <v>100</v>
      </c>
      <c r="C4" s="125" t="s">
        <v>101</v>
      </c>
      <c r="D4" s="126" t="s">
        <v>102</v>
      </c>
      <c r="E4" s="126" t="s">
        <v>103</v>
      </c>
    </row>
    <row r="5" spans="1:5" ht="15" thickBot="1">
      <c r="A5" s="127" t="s">
        <v>104</v>
      </c>
      <c r="B5" s="128" t="s">
        <v>7</v>
      </c>
      <c r="C5" s="281">
        <v>2020</v>
      </c>
      <c r="D5" s="282">
        <v>2019</v>
      </c>
      <c r="E5" s="152" t="s">
        <v>149</v>
      </c>
    </row>
    <row r="6" spans="1:5" ht="13.5">
      <c r="A6" s="134" t="s">
        <v>123</v>
      </c>
      <c r="B6" s="131">
        <f>G22</f>
        <v>3990</v>
      </c>
      <c r="C6" s="132">
        <f>B6+April!C6</f>
        <v>10324</v>
      </c>
      <c r="D6" s="25">
        <v>6622</v>
      </c>
      <c r="E6" s="25">
        <f aca="true" t="shared" si="0" ref="E6:E13">C6-D6</f>
        <v>3702</v>
      </c>
    </row>
    <row r="7" spans="1:5" ht="13.5">
      <c r="A7" s="133" t="s">
        <v>105</v>
      </c>
      <c r="B7" s="131">
        <f>G20</f>
        <v>200</v>
      </c>
      <c r="C7" s="132">
        <f>B7+April!C7</f>
        <v>598</v>
      </c>
      <c r="D7" s="25">
        <v>1222.01</v>
      </c>
      <c r="E7" s="25">
        <f t="shared" si="0"/>
        <v>-624.01</v>
      </c>
    </row>
    <row r="8" spans="1:5" ht="13.5">
      <c r="A8" s="133" t="s">
        <v>92</v>
      </c>
      <c r="B8" s="131">
        <f>G21</f>
        <v>3080</v>
      </c>
      <c r="C8" s="132">
        <f>B8+April!C8</f>
        <v>23446.75</v>
      </c>
      <c r="D8" s="25">
        <v>20582</v>
      </c>
      <c r="E8" s="25">
        <f t="shared" si="0"/>
        <v>2864.75</v>
      </c>
    </row>
    <row r="9" spans="1:5" ht="13.5">
      <c r="A9" s="133" t="s">
        <v>106</v>
      </c>
      <c r="B9" s="131">
        <f>G23</f>
        <v>607</v>
      </c>
      <c r="C9" s="132">
        <f>B9+April!C9</f>
        <v>769.1800000000001</v>
      </c>
      <c r="D9" s="25">
        <v>2920.16</v>
      </c>
      <c r="E9" s="25">
        <f t="shared" si="0"/>
        <v>-2150.9799999999996</v>
      </c>
    </row>
    <row r="10" spans="1:5" ht="13.5">
      <c r="A10" s="133" t="s">
        <v>107</v>
      </c>
      <c r="B10" s="131">
        <f>G24</f>
        <v>0</v>
      </c>
      <c r="C10" s="132">
        <f>B10+April!C10</f>
        <v>0</v>
      </c>
      <c r="D10" s="25">
        <v>300</v>
      </c>
      <c r="E10" s="25">
        <f t="shared" si="0"/>
        <v>-300</v>
      </c>
    </row>
    <row r="11" spans="1:5" ht="15" thickBot="1">
      <c r="A11" s="134" t="s">
        <v>108</v>
      </c>
      <c r="B11" s="131">
        <f>SUM(B6:B10)</f>
        <v>7877</v>
      </c>
      <c r="C11" s="132">
        <f>B11+April!C11</f>
        <v>35137.93</v>
      </c>
      <c r="D11" s="25">
        <v>30226.17</v>
      </c>
      <c r="E11" s="25">
        <f t="shared" si="0"/>
        <v>4911.760000000002</v>
      </c>
    </row>
    <row r="12" spans="1:5" ht="15" thickBot="1">
      <c r="A12" s="193" t="s">
        <v>109</v>
      </c>
      <c r="B12" s="194">
        <f>G26</f>
        <v>7270</v>
      </c>
      <c r="C12" s="195">
        <f>B12+April!C12</f>
        <v>34507.75</v>
      </c>
      <c r="D12" s="25">
        <v>37118.17</v>
      </c>
      <c r="E12" s="25">
        <f t="shared" si="0"/>
        <v>-2610.4199999999983</v>
      </c>
    </row>
    <row r="13" spans="1:5" ht="13.5">
      <c r="A13" s="22" t="s">
        <v>110</v>
      </c>
      <c r="B13" s="131">
        <v>9106.33</v>
      </c>
      <c r="C13" s="132">
        <f>B13*5</f>
        <v>45531.65</v>
      </c>
      <c r="D13" s="25">
        <v>41750</v>
      </c>
      <c r="E13" s="25">
        <f t="shared" si="0"/>
        <v>3781.6500000000015</v>
      </c>
    </row>
    <row r="14" spans="1:5" ht="15" thickBot="1">
      <c r="A14" s="22" t="s">
        <v>122</v>
      </c>
      <c r="B14" s="135">
        <f>B12-B13</f>
        <v>-1836.33</v>
      </c>
      <c r="C14" s="136">
        <f>C12-C13</f>
        <v>-11023.900000000001</v>
      </c>
      <c r="D14" s="25">
        <f>D12-D13</f>
        <v>-4631.830000000002</v>
      </c>
      <c r="E14" s="25"/>
    </row>
    <row r="15" spans="1:5" ht="13.5">
      <c r="A15" s="22" t="s">
        <v>112</v>
      </c>
      <c r="B15" s="156">
        <f>B12/B13</f>
        <v>0.7983457660770036</v>
      </c>
      <c r="C15" s="156">
        <f>C12/C13</f>
        <v>0.7578848998443939</v>
      </c>
      <c r="D15" s="156">
        <f>D12/D13</f>
        <v>0.8890579640718562</v>
      </c>
      <c r="E15" s="25"/>
    </row>
    <row r="16" spans="2:13" ht="13.5">
      <c r="B16" s="25"/>
      <c r="C16" s="25"/>
      <c r="D16" s="25"/>
      <c r="E16" s="25"/>
      <c r="G16" s="21"/>
      <c r="H16" s="22"/>
      <c r="I16" s="25"/>
      <c r="J16" s="25"/>
      <c r="K16" s="25"/>
      <c r="L16" s="25"/>
      <c r="M16" s="21"/>
    </row>
    <row r="17" spans="2:14" ht="13.5">
      <c r="B17" s="137" t="s">
        <v>84</v>
      </c>
      <c r="C17" s="137" t="s">
        <v>84</v>
      </c>
      <c r="D17" s="137" t="s">
        <v>84</v>
      </c>
      <c r="E17" s="137" t="s">
        <v>84</v>
      </c>
      <c r="F17" s="137" t="s">
        <v>84</v>
      </c>
      <c r="G17" s="31" t="s">
        <v>113</v>
      </c>
      <c r="I17" s="22"/>
      <c r="J17" s="25"/>
      <c r="K17" s="25"/>
      <c r="L17" s="25"/>
      <c r="M17" s="25"/>
      <c r="N17" s="21"/>
    </row>
    <row r="18" spans="1:14" ht="15" thickBot="1">
      <c r="A18" s="138" t="s">
        <v>114</v>
      </c>
      <c r="B18" s="139">
        <f>'2020 Wkly Log'!Y3</f>
        <v>42492</v>
      </c>
      <c r="C18" s="139">
        <f>'2020 Wkly Log'!Z3</f>
        <v>42499</v>
      </c>
      <c r="D18" s="139">
        <f>'2020 Wkly Log'!AA3</f>
        <v>42506</v>
      </c>
      <c r="E18" s="139">
        <f>'2020 Wkly Log'!AB3</f>
        <v>42513</v>
      </c>
      <c r="F18" s="139">
        <f>'2020 Wkly Log'!AC3</f>
        <v>42520</v>
      </c>
      <c r="G18" s="151" t="str">
        <f>B5</f>
        <v>May</v>
      </c>
      <c r="I18" s="22"/>
      <c r="J18" s="25"/>
      <c r="K18" s="25"/>
      <c r="L18" s="25"/>
      <c r="M18" s="25"/>
      <c r="N18" s="21"/>
    </row>
    <row r="19" spans="1:14" ht="13.5">
      <c r="A19" s="22"/>
      <c r="B19" s="25"/>
      <c r="C19" s="25"/>
      <c r="D19" s="168"/>
      <c r="E19" s="25"/>
      <c r="F19" s="168"/>
      <c r="G19" s="140"/>
      <c r="I19" s="21"/>
      <c r="J19" s="21"/>
      <c r="K19" s="21"/>
      <c r="L19" s="21"/>
      <c r="M19" s="21"/>
      <c r="N19" s="21"/>
    </row>
    <row r="20" spans="1:7" ht="13.5">
      <c r="A20" s="22" t="s">
        <v>105</v>
      </c>
      <c r="B20" s="25"/>
      <c r="C20" s="25"/>
      <c r="D20" s="285">
        <v>100</v>
      </c>
      <c r="E20" s="25"/>
      <c r="F20" s="288">
        <v>100</v>
      </c>
      <c r="G20" s="141">
        <f>SUM(B20:F20)</f>
        <v>200</v>
      </c>
    </row>
    <row r="21" spans="1:7" ht="13.5">
      <c r="A21" s="22" t="s">
        <v>115</v>
      </c>
      <c r="B21" s="285">
        <v>1450</v>
      </c>
      <c r="C21" s="285">
        <v>405</v>
      </c>
      <c r="D21" s="285">
        <v>1075</v>
      </c>
      <c r="E21" s="25">
        <v>150</v>
      </c>
      <c r="F21" s="230"/>
      <c r="G21" s="141">
        <f aca="true" t="shared" si="1" ref="G21:G27">SUM(B21:F21)</f>
        <v>3080</v>
      </c>
    </row>
    <row r="22" spans="1:7" ht="13.5">
      <c r="A22" s="22" t="s">
        <v>116</v>
      </c>
      <c r="B22" s="285">
        <v>679</v>
      </c>
      <c r="C22" s="285">
        <v>1974</v>
      </c>
      <c r="D22" s="285">
        <v>694</v>
      </c>
      <c r="E22" s="25">
        <v>484</v>
      </c>
      <c r="F22" s="288">
        <v>159</v>
      </c>
      <c r="G22" s="141">
        <f t="shared" si="1"/>
        <v>3990</v>
      </c>
    </row>
    <row r="23" spans="1:7" ht="13.5">
      <c r="A23" s="22" t="s">
        <v>117</v>
      </c>
      <c r="B23" s="285">
        <v>150</v>
      </c>
      <c r="C23" s="25">
        <f>SUM(C30:C38)</f>
        <v>0</v>
      </c>
      <c r="D23" s="285">
        <v>357</v>
      </c>
      <c r="E23" s="25">
        <v>100</v>
      </c>
      <c r="F23" s="25">
        <f>SUM(F30:F38)</f>
        <v>0</v>
      </c>
      <c r="G23" s="141">
        <f t="shared" si="1"/>
        <v>607</v>
      </c>
    </row>
    <row r="24" spans="1:7" ht="13.5">
      <c r="A24" s="22" t="s">
        <v>118</v>
      </c>
      <c r="B24" s="25">
        <f>SUM(B41:B63)</f>
        <v>0</v>
      </c>
      <c r="C24" s="25">
        <f>SUM(C41:C63)</f>
        <v>0</v>
      </c>
      <c r="D24" s="25">
        <f>SUM(D41:D63)</f>
        <v>0</v>
      </c>
      <c r="E24" s="25">
        <f>SUM(E41:E63)</f>
        <v>0</v>
      </c>
      <c r="F24" s="25">
        <f>SUM(F41:F53)</f>
        <v>0</v>
      </c>
      <c r="G24" s="141">
        <f t="shared" si="1"/>
        <v>0</v>
      </c>
    </row>
    <row r="25" spans="1:7" ht="15" thickBot="1">
      <c r="A25" s="22" t="s">
        <v>119</v>
      </c>
      <c r="B25" s="25">
        <f>SUM(B20:B24)</f>
        <v>2279</v>
      </c>
      <c r="C25" s="25">
        <f>SUM(C20:C24)</f>
        <v>2379</v>
      </c>
      <c r="D25" s="25">
        <f>SUM(D20:D24)</f>
        <v>2226</v>
      </c>
      <c r="E25" s="25">
        <f>SUM(E20:E24)</f>
        <v>734</v>
      </c>
      <c r="F25" s="230">
        <f>SUM(F20:F24)</f>
        <v>259</v>
      </c>
      <c r="G25" s="141">
        <f t="shared" si="1"/>
        <v>7877</v>
      </c>
    </row>
    <row r="26" spans="1:7" ht="15" thickBot="1">
      <c r="A26" s="196" t="s">
        <v>120</v>
      </c>
      <c r="B26" s="197">
        <f>B25-(B24+B23)</f>
        <v>2129</v>
      </c>
      <c r="C26" s="197">
        <f>C25-(C24+C23)</f>
        <v>2379</v>
      </c>
      <c r="D26" s="197">
        <f>D25-(D24+D23)</f>
        <v>1869</v>
      </c>
      <c r="E26" s="197">
        <f>E25-(E24+E23)</f>
        <v>634</v>
      </c>
      <c r="F26" s="197">
        <f>F25-(F24+F23)</f>
        <v>259</v>
      </c>
      <c r="G26" s="197">
        <f t="shared" si="1"/>
        <v>7270</v>
      </c>
    </row>
    <row r="27" spans="1:9" ht="13.5">
      <c r="A27" s="142" t="s">
        <v>121</v>
      </c>
      <c r="B27" s="143">
        <f>B25-B22</f>
        <v>1600</v>
      </c>
      <c r="C27" s="143">
        <f>C25-C22</f>
        <v>405</v>
      </c>
      <c r="D27" s="143">
        <f>D25-D22</f>
        <v>1532</v>
      </c>
      <c r="E27" s="143">
        <f>E25-E22</f>
        <v>250</v>
      </c>
      <c r="F27" s="231">
        <f>F25-F22</f>
        <v>100</v>
      </c>
      <c r="G27" s="141">
        <f t="shared" si="1"/>
        <v>3887</v>
      </c>
      <c r="I27" s="178"/>
    </row>
    <row r="28" spans="1:6" ht="13.5">
      <c r="A28" s="142"/>
      <c r="B28" s="145" t="str">
        <f>IF((B27+B22)&lt;B25,"error",IF((B27+B22)&gt;B25,"error"," "))</f>
        <v> </v>
      </c>
      <c r="C28" s="145" t="str">
        <f>IF((C27+C22)&lt;C25,"error",IF((C27+C22)&gt;C25,"error"," "))</f>
        <v> </v>
      </c>
      <c r="D28" s="145" t="str">
        <f>IF((D27+D22)&lt;D25,"error",IF((D27+D22)&gt;D25,"error"," "))</f>
        <v> </v>
      </c>
      <c r="E28" s="145" t="str">
        <f>IF((E27+E22)&lt;E25,"error",IF((E27+E22)&gt;E25,"error"," "))</f>
        <v> </v>
      </c>
      <c r="F28" s="145"/>
    </row>
    <row r="29" spans="1:7" ht="15" thickBot="1">
      <c r="A29" s="138" t="s">
        <v>117</v>
      </c>
      <c r="B29" s="154"/>
      <c r="C29" s="154"/>
      <c r="D29" s="154"/>
      <c r="E29" s="154"/>
      <c r="F29" s="154"/>
      <c r="G29" s="127" t="str">
        <f>A29</f>
        <v>Special Offerings/Funds</v>
      </c>
    </row>
    <row r="30" spans="1:7" ht="13.5">
      <c r="A30" s="22" t="s">
        <v>157</v>
      </c>
      <c r="B30" t="s">
        <v>158</v>
      </c>
      <c r="C30" s="25"/>
      <c r="D30" s="25"/>
      <c r="E30" s="285"/>
      <c r="F30" s="25"/>
      <c r="G30" s="287">
        <v>150</v>
      </c>
    </row>
    <row r="31" spans="1:7" ht="13.5">
      <c r="A31" s="22" t="s">
        <v>159</v>
      </c>
      <c r="B31" s="25"/>
      <c r="C31" s="25"/>
      <c r="D31" s="285" t="s">
        <v>160</v>
      </c>
      <c r="E31" s="25"/>
      <c r="G31" s="287">
        <v>100</v>
      </c>
    </row>
    <row r="32" spans="1:7" ht="13.5">
      <c r="A32" s="22" t="s">
        <v>161</v>
      </c>
      <c r="B32" s="25"/>
      <c r="C32" s="285"/>
      <c r="D32" s="25" t="s">
        <v>162</v>
      </c>
      <c r="E32" s="25"/>
      <c r="G32" s="287">
        <v>13</v>
      </c>
    </row>
    <row r="33" spans="1:7" ht="13.5">
      <c r="A33" s="40" t="s">
        <v>159</v>
      </c>
      <c r="B33" s="25"/>
      <c r="C33" s="25"/>
      <c r="D33" s="285" t="s">
        <v>163</v>
      </c>
      <c r="E33" s="25"/>
      <c r="G33" s="287">
        <v>122</v>
      </c>
    </row>
    <row r="34" spans="1:7" ht="13.5">
      <c r="A34" s="22" t="s">
        <v>164</v>
      </c>
      <c r="B34" s="25"/>
      <c r="C34" s="25"/>
      <c r="D34" s="25" t="s">
        <v>163</v>
      </c>
      <c r="E34" s="25"/>
      <c r="G34" s="287">
        <v>122</v>
      </c>
    </row>
    <row r="35" spans="1:7" ht="13.5">
      <c r="A35" s="22" t="s">
        <v>165</v>
      </c>
      <c r="B35" s="25"/>
      <c r="C35" s="25"/>
      <c r="D35" s="25"/>
      <c r="E35" s="25" t="s">
        <v>166</v>
      </c>
      <c r="G35" s="287">
        <v>100</v>
      </c>
    </row>
    <row r="36" spans="1:7" ht="13.5">
      <c r="A36" s="22"/>
      <c r="B36" s="25"/>
      <c r="C36" s="25"/>
      <c r="D36" s="25"/>
      <c r="E36" s="25"/>
      <c r="G36" s="22">
        <f>A36</f>
        <v>0</v>
      </c>
    </row>
    <row r="37" spans="1:7" ht="13.5">
      <c r="A37" s="22"/>
      <c r="B37" s="25"/>
      <c r="C37" s="25"/>
      <c r="D37" s="25"/>
      <c r="E37" s="25"/>
      <c r="G37" s="22">
        <f>A37</f>
        <v>0</v>
      </c>
    </row>
    <row r="38" spans="1:7" ht="13.5">
      <c r="A38" s="22"/>
      <c r="B38" s="25"/>
      <c r="C38" s="25"/>
      <c r="D38" s="25"/>
      <c r="E38" s="25"/>
      <c r="G38" s="22">
        <f>A38</f>
        <v>0</v>
      </c>
    </row>
    <row r="39" spans="1:7" ht="13.5">
      <c r="A39" s="21"/>
      <c r="B39" s="25"/>
      <c r="C39" s="25"/>
      <c r="D39" s="25"/>
      <c r="E39" s="25"/>
      <c r="G39" s="22"/>
    </row>
    <row r="40" spans="1:7" ht="15" thickBot="1">
      <c r="A40" s="127" t="s">
        <v>118</v>
      </c>
      <c r="B40" s="154"/>
      <c r="C40" s="154"/>
      <c r="D40" s="154"/>
      <c r="E40" s="154"/>
      <c r="G40" s="127" t="str">
        <f aca="true" t="shared" si="2" ref="G40:G48">A40</f>
        <v>Memorials</v>
      </c>
    </row>
    <row r="41" spans="1:7" ht="13.5">
      <c r="A41" s="22"/>
      <c r="B41" s="25"/>
      <c r="C41" s="25"/>
      <c r="D41" s="25"/>
      <c r="E41" s="25"/>
      <c r="G41" s="22">
        <f t="shared" si="2"/>
        <v>0</v>
      </c>
    </row>
    <row r="42" spans="1:7" ht="13.5">
      <c r="A42" s="22"/>
      <c r="B42" s="25"/>
      <c r="C42" s="25"/>
      <c r="D42" s="25"/>
      <c r="E42" s="25"/>
      <c r="G42" s="22">
        <f t="shared" si="2"/>
        <v>0</v>
      </c>
    </row>
    <row r="43" spans="1:7" ht="13.5">
      <c r="A43" s="22"/>
      <c r="B43" s="25"/>
      <c r="C43" s="25"/>
      <c r="D43" s="25"/>
      <c r="E43" s="25"/>
      <c r="G43" s="22">
        <f t="shared" si="2"/>
        <v>0</v>
      </c>
    </row>
    <row r="44" spans="1:7" ht="13.5">
      <c r="A44" s="40"/>
      <c r="B44" s="25"/>
      <c r="C44" s="25"/>
      <c r="D44" s="25"/>
      <c r="E44" s="25"/>
      <c r="G44" s="22">
        <f t="shared" si="2"/>
        <v>0</v>
      </c>
    </row>
    <row r="45" spans="1:7" ht="13.5">
      <c r="A45" s="22"/>
      <c r="B45" s="25"/>
      <c r="C45" s="25"/>
      <c r="D45" s="25"/>
      <c r="E45" s="25"/>
      <c r="G45" s="22">
        <f t="shared" si="2"/>
        <v>0</v>
      </c>
    </row>
    <row r="46" spans="1:7" ht="13.5">
      <c r="A46" s="22"/>
      <c r="B46" s="25"/>
      <c r="C46" s="25"/>
      <c r="D46" s="25"/>
      <c r="E46" s="25"/>
      <c r="G46" s="22">
        <f t="shared" si="2"/>
        <v>0</v>
      </c>
    </row>
    <row r="47" spans="1:7" ht="13.5">
      <c r="A47" s="22"/>
      <c r="B47" s="25"/>
      <c r="C47" s="25"/>
      <c r="D47" s="25"/>
      <c r="E47" s="25"/>
      <c r="G47" s="22">
        <f t="shared" si="2"/>
        <v>0</v>
      </c>
    </row>
    <row r="48" spans="1:7" ht="13.5">
      <c r="A48" s="22"/>
      <c r="B48" s="25"/>
      <c r="C48" s="25"/>
      <c r="D48" s="25"/>
      <c r="E48" s="25"/>
      <c r="G48" s="22">
        <f t="shared" si="2"/>
        <v>0</v>
      </c>
    </row>
    <row r="49" spans="1:7" ht="13.5">
      <c r="A49" s="22"/>
      <c r="B49" s="25"/>
      <c r="C49" s="25"/>
      <c r="D49" s="25"/>
      <c r="E49" s="25"/>
      <c r="G49" s="22">
        <f>A49</f>
        <v>0</v>
      </c>
    </row>
    <row r="50" spans="1:7" ht="13.5">
      <c r="A50" s="22"/>
      <c r="B50" s="25"/>
      <c r="C50" s="25"/>
      <c r="D50" s="25"/>
      <c r="E50" s="25"/>
      <c r="G50" s="22">
        <f>A50</f>
        <v>0</v>
      </c>
    </row>
    <row r="51" spans="1:7" ht="13.5">
      <c r="A51" s="22"/>
      <c r="B51" s="25"/>
      <c r="C51" s="25"/>
      <c r="D51" s="25"/>
      <c r="E51" s="25"/>
      <c r="G51" s="22">
        <f>A51</f>
        <v>0</v>
      </c>
    </row>
    <row r="52" spans="1:7" ht="13.5">
      <c r="A52" s="22"/>
      <c r="B52" s="25"/>
      <c r="C52" s="25"/>
      <c r="D52" s="25"/>
      <c r="E52" s="25"/>
      <c r="G52" s="22">
        <f>A52</f>
        <v>0</v>
      </c>
    </row>
    <row r="53" spans="1:7" ht="13.5">
      <c r="A53" s="22"/>
      <c r="B53" s="25"/>
      <c r="C53" s="25"/>
      <c r="D53" s="25"/>
      <c r="E53" s="25"/>
      <c r="G53" s="22">
        <f>A53</f>
        <v>0</v>
      </c>
    </row>
    <row r="54" spans="1:5" ht="13.5">
      <c r="A54" s="22"/>
      <c r="B54" s="25"/>
      <c r="C54" s="25"/>
      <c r="D54" s="25"/>
      <c r="E54" s="25"/>
    </row>
    <row r="55" spans="1:5" ht="13.5">
      <c r="A55" s="22"/>
      <c r="B55" s="25"/>
      <c r="C55" s="25"/>
      <c r="D55" s="25"/>
      <c r="E55" s="25"/>
    </row>
    <row r="56" spans="1:5" ht="13.5">
      <c r="A56" s="22"/>
      <c r="B56" s="25"/>
      <c r="C56" s="25"/>
      <c r="D56" s="25"/>
      <c r="E56" s="25"/>
    </row>
    <row r="57" spans="1:5" ht="13.5">
      <c r="A57" s="22"/>
      <c r="B57" s="25"/>
      <c r="C57" s="25"/>
      <c r="D57" s="25"/>
      <c r="E57" s="25"/>
    </row>
    <row r="58" spans="1:5" ht="13.5">
      <c r="A58" s="22"/>
      <c r="B58" s="25"/>
      <c r="C58" s="25"/>
      <c r="D58" s="25"/>
      <c r="E58" s="25"/>
    </row>
    <row r="59" spans="1:5" ht="13.5">
      <c r="A59" s="22"/>
      <c r="B59" s="25"/>
      <c r="C59" s="25"/>
      <c r="D59" s="25"/>
      <c r="E59" s="25"/>
    </row>
    <row r="60" spans="1:5" ht="13.5">
      <c r="A60" s="22"/>
      <c r="B60" s="25"/>
      <c r="C60" s="25"/>
      <c r="D60" s="25"/>
      <c r="E60" s="25"/>
    </row>
    <row r="61" spans="1:6" ht="13.5">
      <c r="A61" s="22"/>
      <c r="B61" s="25"/>
      <c r="C61" s="25"/>
      <c r="D61" s="25"/>
      <c r="E61" s="25"/>
      <c r="F61" s="230"/>
    </row>
    <row r="62" spans="1:6" ht="13.5">
      <c r="A62" s="22"/>
      <c r="B62" s="25"/>
      <c r="C62" s="25"/>
      <c r="D62" s="25"/>
      <c r="E62" s="25"/>
      <c r="F62" s="230"/>
    </row>
    <row r="63" spans="1:6" ht="13.5">
      <c r="A63" s="22"/>
      <c r="B63" s="25"/>
      <c r="C63" s="25"/>
      <c r="D63" s="25"/>
      <c r="E63" s="25"/>
      <c r="F63" s="230"/>
    </row>
    <row r="64" spans="1:6" ht="13.5">
      <c r="A64" s="22"/>
      <c r="B64" s="25"/>
      <c r="C64" s="25"/>
      <c r="D64" s="25"/>
      <c r="E64" s="25"/>
      <c r="F64" s="230"/>
    </row>
    <row r="65" spans="1:6" ht="13.5">
      <c r="A65" s="22"/>
      <c r="B65" s="25"/>
      <c r="C65" s="25"/>
      <c r="D65" s="25"/>
      <c r="E65" s="25"/>
      <c r="F65" s="230"/>
    </row>
    <row r="66" spans="1:6" ht="13.5">
      <c r="A66" s="22"/>
      <c r="B66" s="25"/>
      <c r="C66" s="25"/>
      <c r="D66" s="25"/>
      <c r="E66" s="25"/>
      <c r="F66" s="230"/>
    </row>
    <row r="67" spans="1:7" ht="13.5">
      <c r="A67" s="22"/>
      <c r="B67" s="25"/>
      <c r="C67" s="25"/>
      <c r="D67" s="25"/>
      <c r="E67" s="25"/>
      <c r="G67" s="21"/>
    </row>
    <row r="68" ht="13.5">
      <c r="G68" s="21"/>
    </row>
    <row r="69" ht="13.5">
      <c r="G69" s="21"/>
    </row>
    <row r="70" ht="13.5">
      <c r="G70" s="21"/>
    </row>
    <row r="71" ht="13.5">
      <c r="G71" s="21"/>
    </row>
    <row r="72" ht="13.5">
      <c r="G72" s="21"/>
    </row>
  </sheetData>
  <sheetProtection/>
  <printOptions gridLines="1"/>
  <pageMargins left="0" right="0" top="0.75" bottom="0.75" header="0.3" footer="0.3"/>
  <pageSetup orientation="portrait" scale="65"/>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Werner</dc:creator>
  <cp:keywords/>
  <dc:description/>
  <cp:lastModifiedBy>Microsoft Office User</cp:lastModifiedBy>
  <cp:lastPrinted>2021-01-18T22:29:24Z</cp:lastPrinted>
  <dcterms:created xsi:type="dcterms:W3CDTF">2001-01-29T16:02:34Z</dcterms:created>
  <dcterms:modified xsi:type="dcterms:W3CDTF">2021-01-23T22:56:22Z</dcterms:modified>
  <cp:category/>
  <cp:version/>
  <cp:contentType/>
  <cp:contentStatus/>
</cp:coreProperties>
</file>